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hb.com\gbl\proj\Orlando\64496.01 Misc Support Services\tech\US 1792\Cost Estimates\"/>
    </mc:Choice>
  </mc:AlternateContent>
  <xr:revisionPtr revIDLastSave="0" documentId="13_ncr:1_{AB99804D-081F-4AB7-BD55-C67F633BAB34}" xr6:coauthVersionLast="47" xr6:coauthVersionMax="47" xr10:uidLastSave="{00000000-0000-0000-0000-000000000000}"/>
  <bookViews>
    <workbookView xWindow="-28920" yWindow="-120" windowWidth="29040" windowHeight="15720" tabRatio="883" xr2:uid="{16C04787-BCE2-4627-9FCB-D48D1AD48257}"/>
  </bookViews>
  <sheets>
    <sheet name="Cost Estimate" sheetId="31" r:id="rId1"/>
    <sheet name="Unit Costs" sheetId="3" r:id="rId2"/>
    <sheet name="Sheet1" sheetId="32" r:id="rId3"/>
  </sheets>
  <definedNames>
    <definedName name="_xlnm.Print_Area" localSheetId="0">'Cost Estimate'!$A$1:$H$146</definedName>
    <definedName name="_xlnm.Print_Area" localSheetId="1">'Unit Costs'!$B$4:$D$143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3" i="31" l="1"/>
  <c r="I7" i="31"/>
  <c r="I8" i="31"/>
  <c r="I9" i="31"/>
  <c r="I11" i="31"/>
  <c r="H14" i="31"/>
  <c r="I14" i="31"/>
  <c r="I12" i="31" s="1"/>
  <c r="I16" i="31"/>
  <c r="I18" i="31"/>
  <c r="H19" i="31"/>
  <c r="I19" i="31"/>
  <c r="H20" i="31"/>
  <c r="I20" i="31"/>
  <c r="I21" i="31"/>
  <c r="H22" i="31"/>
  <c r="I23" i="31" s="1"/>
  <c r="I22" i="31"/>
  <c r="H24" i="31"/>
  <c r="I24" i="31"/>
  <c r="I31" i="31"/>
  <c r="I32" i="31"/>
  <c r="I33" i="31"/>
  <c r="I34" i="31"/>
  <c r="I35" i="31"/>
  <c r="I36" i="31"/>
  <c r="H37" i="31"/>
  <c r="I37" i="31"/>
  <c r="H38" i="31"/>
  <c r="I38" i="31" s="1"/>
  <c r="H39" i="31"/>
  <c r="I39" i="31"/>
  <c r="I46" i="31"/>
  <c r="I47" i="31"/>
  <c r="I48" i="31"/>
  <c r="I53" i="31"/>
  <c r="I55" i="31"/>
  <c r="I111" i="31"/>
  <c r="I112" i="31"/>
  <c r="I117" i="31"/>
  <c r="I118" i="31"/>
  <c r="I119" i="31"/>
  <c r="I106" i="31" s="1"/>
  <c r="I129" i="31"/>
  <c r="X6" i="32"/>
  <c r="X7" i="32"/>
  <c r="X8" i="32"/>
  <c r="X9" i="32"/>
  <c r="X10" i="32"/>
  <c r="X5" i="32"/>
  <c r="U5" i="32"/>
  <c r="V5" i="32"/>
  <c r="T5" i="32"/>
  <c r="S5" i="32"/>
  <c r="L5" i="32"/>
  <c r="L4" i="32"/>
  <c r="P5" i="32"/>
  <c r="P4" i="32"/>
  <c r="B84" i="31"/>
  <c r="F84" i="3"/>
  <c r="F84" i="31" s="1"/>
  <c r="G84" i="31" s="1"/>
  <c r="F125" i="3"/>
  <c r="F54" i="3"/>
  <c r="F7" i="3"/>
  <c r="F8" i="3"/>
  <c r="F9" i="3"/>
  <c r="F10" i="3"/>
  <c r="F11" i="3"/>
  <c r="F12" i="3"/>
  <c r="F13" i="3"/>
  <c r="F14" i="3"/>
  <c r="F15" i="3"/>
  <c r="F16" i="3"/>
  <c r="F17" i="31" s="1"/>
  <c r="G17" i="31" s="1"/>
  <c r="F17" i="3"/>
  <c r="F18" i="3"/>
  <c r="F19" i="3"/>
  <c r="F20" i="3"/>
  <c r="F21" i="3"/>
  <c r="F22" i="3"/>
  <c r="F23" i="3"/>
  <c r="F24" i="3"/>
  <c r="F25" i="31" s="1"/>
  <c r="G25" i="31" s="1"/>
  <c r="F25" i="3"/>
  <c r="F26" i="31" s="1"/>
  <c r="G26" i="31" s="1"/>
  <c r="F26" i="3"/>
  <c r="F27" i="31" s="1"/>
  <c r="G27" i="31" s="1"/>
  <c r="F27" i="3"/>
  <c r="F28" i="3"/>
  <c r="F29" i="3"/>
  <c r="F30" i="3"/>
  <c r="F31" i="3"/>
  <c r="F32" i="3"/>
  <c r="F33" i="3"/>
  <c r="F34" i="3"/>
  <c r="F35" i="3"/>
  <c r="F36" i="3"/>
  <c r="F37" i="3"/>
  <c r="F37" i="31" s="1"/>
  <c r="G37" i="31" s="1"/>
  <c r="F38" i="3"/>
  <c r="F39" i="3"/>
  <c r="F40" i="3"/>
  <c r="F41" i="3"/>
  <c r="F42" i="3"/>
  <c r="F43" i="3"/>
  <c r="F44" i="3"/>
  <c r="F45" i="3"/>
  <c r="F45" i="31" s="1"/>
  <c r="G45" i="31" s="1"/>
  <c r="F46" i="3"/>
  <c r="F47" i="3"/>
  <c r="F48" i="3"/>
  <c r="F49" i="3"/>
  <c r="F50" i="3"/>
  <c r="F51" i="3"/>
  <c r="F52" i="3"/>
  <c r="F53" i="3"/>
  <c r="F55" i="3"/>
  <c r="F56" i="3"/>
  <c r="F57" i="3"/>
  <c r="F58" i="3"/>
  <c r="F58" i="31" s="1"/>
  <c r="G58" i="31" s="1"/>
  <c r="F59" i="3"/>
  <c r="F60" i="3"/>
  <c r="F61" i="3"/>
  <c r="F61" i="31" s="1"/>
  <c r="G61" i="31" s="1"/>
  <c r="F62" i="3"/>
  <c r="F62" i="31" s="1"/>
  <c r="G62" i="31" s="1"/>
  <c r="F63" i="3"/>
  <c r="F63" i="31" s="1"/>
  <c r="G63" i="31" s="1"/>
  <c r="F64" i="3"/>
  <c r="F64" i="31" s="1"/>
  <c r="G64" i="31" s="1"/>
  <c r="F65" i="3"/>
  <c r="F65" i="31" s="1"/>
  <c r="G65" i="31" s="1"/>
  <c r="F66" i="3"/>
  <c r="F67" i="3"/>
  <c r="F68" i="3"/>
  <c r="F69" i="3"/>
  <c r="F70" i="3"/>
  <c r="F70" i="31" s="1"/>
  <c r="G70" i="31" s="1"/>
  <c r="F71" i="3"/>
  <c r="F72" i="3"/>
  <c r="F73" i="3"/>
  <c r="F74" i="3"/>
  <c r="F75" i="3"/>
  <c r="F76" i="3"/>
  <c r="F77" i="3"/>
  <c r="F78" i="3"/>
  <c r="F79" i="3"/>
  <c r="F80" i="3"/>
  <c r="F80" i="31" s="1"/>
  <c r="G80" i="31" s="1"/>
  <c r="F81" i="3"/>
  <c r="F82" i="3"/>
  <c r="F83" i="3"/>
  <c r="F83" i="31" s="1"/>
  <c r="G83" i="31" s="1"/>
  <c r="F85" i="3"/>
  <c r="F85" i="31" s="1"/>
  <c r="G85" i="31" s="1"/>
  <c r="F86" i="3"/>
  <c r="F86" i="31" s="1"/>
  <c r="G86" i="31" s="1"/>
  <c r="F87" i="3"/>
  <c r="F88" i="3"/>
  <c r="F89" i="3"/>
  <c r="F90" i="3"/>
  <c r="F91" i="3"/>
  <c r="F92" i="3"/>
  <c r="F92" i="31" s="1"/>
  <c r="G92" i="31" s="1"/>
  <c r="F93" i="3"/>
  <c r="F93" i="31" s="1"/>
  <c r="G93" i="31" s="1"/>
  <c r="F94" i="3"/>
  <c r="F95" i="3"/>
  <c r="F96" i="3"/>
  <c r="F97" i="3"/>
  <c r="F98" i="3"/>
  <c r="F99" i="3"/>
  <c r="F100" i="3"/>
  <c r="F101" i="3"/>
  <c r="F101" i="31" s="1"/>
  <c r="G101" i="31" s="1"/>
  <c r="F102" i="3"/>
  <c r="F103" i="3"/>
  <c r="F103" i="31" s="1"/>
  <c r="G103" i="31" s="1"/>
  <c r="F104" i="3"/>
  <c r="F105" i="3"/>
  <c r="F105" i="31" s="1"/>
  <c r="G105" i="31" s="1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0" i="31" s="1"/>
  <c r="G120" i="31" s="1"/>
  <c r="F121" i="3"/>
  <c r="F122" i="3"/>
  <c r="F123" i="3"/>
  <c r="F124" i="3"/>
  <c r="G33" i="32"/>
  <c r="D31" i="32"/>
  <c r="D32" i="32" s="1"/>
  <c r="F96" i="31"/>
  <c r="G96" i="31" s="1"/>
  <c r="F78" i="31"/>
  <c r="G78" i="31" s="1"/>
  <c r="F66" i="31"/>
  <c r="G66" i="31" s="1"/>
  <c r="F28" i="31"/>
  <c r="G28" i="31" s="1"/>
  <c r="F9" i="31"/>
  <c r="G9" i="31" s="1"/>
  <c r="F6" i="3"/>
  <c r="B78" i="31"/>
  <c r="C78" i="31"/>
  <c r="D78" i="31"/>
  <c r="B80" i="31"/>
  <c r="C80" i="31"/>
  <c r="D80" i="31"/>
  <c r="A80" i="3"/>
  <c r="A78" i="3"/>
  <c r="B8" i="31"/>
  <c r="C8" i="31"/>
  <c r="D8" i="31"/>
  <c r="B9" i="31"/>
  <c r="C9" i="31"/>
  <c r="D9" i="31"/>
  <c r="A7" i="3"/>
  <c r="F8" i="31"/>
  <c r="G8" i="31" s="1"/>
  <c r="A8" i="3"/>
  <c r="D17" i="31"/>
  <c r="C17" i="31"/>
  <c r="B17" i="31"/>
  <c r="A16" i="3"/>
  <c r="D26" i="31"/>
  <c r="C26" i="31"/>
  <c r="B26" i="31"/>
  <c r="D25" i="31"/>
  <c r="C25" i="31"/>
  <c r="B25" i="31"/>
  <c r="A24" i="3"/>
  <c r="A25" i="3"/>
  <c r="D28" i="31"/>
  <c r="C28" i="31"/>
  <c r="B28" i="31"/>
  <c r="D27" i="31"/>
  <c r="C27" i="31"/>
  <c r="B27" i="31"/>
  <c r="A26" i="3"/>
  <c r="A27" i="3"/>
  <c r="B33" i="31"/>
  <c r="C33" i="31"/>
  <c r="D33" i="31"/>
  <c r="B34" i="31"/>
  <c r="C34" i="31"/>
  <c r="D34" i="31"/>
  <c r="B35" i="31"/>
  <c r="C35" i="31"/>
  <c r="D35" i="31"/>
  <c r="A30" i="3"/>
  <c r="A33" i="3"/>
  <c r="F33" i="31"/>
  <c r="G33" i="31" s="1"/>
  <c r="A34" i="3"/>
  <c r="F34" i="31"/>
  <c r="G34" i="31" s="1"/>
  <c r="A35" i="3"/>
  <c r="F35" i="31"/>
  <c r="G35" i="31" s="1"/>
  <c r="D37" i="31"/>
  <c r="C37" i="31"/>
  <c r="B37" i="31"/>
  <c r="A37" i="3"/>
  <c r="G129" i="31"/>
  <c r="D129" i="31"/>
  <c r="C129" i="31"/>
  <c r="D45" i="31"/>
  <c r="C45" i="31"/>
  <c r="B45" i="31"/>
  <c r="A45" i="3"/>
  <c r="D53" i="31"/>
  <c r="C53" i="31"/>
  <c r="B53" i="31"/>
  <c r="D54" i="31"/>
  <c r="C54" i="31"/>
  <c r="B54" i="31"/>
  <c r="F54" i="31"/>
  <c r="G54" i="31" s="1"/>
  <c r="F53" i="31"/>
  <c r="G53" i="31" s="1"/>
  <c r="A54" i="3"/>
  <c r="A53" i="3"/>
  <c r="B58" i="31"/>
  <c r="C58" i="31"/>
  <c r="D58" i="31"/>
  <c r="A58" i="3"/>
  <c r="B60" i="31"/>
  <c r="C60" i="31"/>
  <c r="D60" i="31"/>
  <c r="B61" i="31"/>
  <c r="C61" i="31"/>
  <c r="D61" i="31"/>
  <c r="B62" i="31"/>
  <c r="C62" i="31"/>
  <c r="D62" i="31"/>
  <c r="B63" i="31"/>
  <c r="C63" i="31"/>
  <c r="D63" i="31"/>
  <c r="B64" i="31"/>
  <c r="C64" i="31"/>
  <c r="D64" i="31"/>
  <c r="B65" i="31"/>
  <c r="C65" i="31"/>
  <c r="D65" i="31"/>
  <c r="B66" i="31"/>
  <c r="C66" i="31"/>
  <c r="D66" i="31"/>
  <c r="A61" i="3"/>
  <c r="A62" i="3"/>
  <c r="A63" i="3"/>
  <c r="A64" i="3"/>
  <c r="A65" i="3"/>
  <c r="A66" i="3"/>
  <c r="F60" i="31"/>
  <c r="G60" i="31" s="1"/>
  <c r="A60" i="3"/>
  <c r="D68" i="31"/>
  <c r="C68" i="31"/>
  <c r="B68" i="31"/>
  <c r="D69" i="31"/>
  <c r="C69" i="31"/>
  <c r="B69" i="31"/>
  <c r="D70" i="31"/>
  <c r="C70" i="31"/>
  <c r="B70" i="31"/>
  <c r="A70" i="3"/>
  <c r="F69" i="31"/>
  <c r="G69" i="31" s="1"/>
  <c r="A69" i="3"/>
  <c r="F68" i="31"/>
  <c r="G68" i="31" s="1"/>
  <c r="A68" i="3"/>
  <c r="D71" i="31"/>
  <c r="C71" i="31"/>
  <c r="B71" i="31"/>
  <c r="F71" i="31"/>
  <c r="G71" i="31" s="1"/>
  <c r="A71" i="3"/>
  <c r="B83" i="31"/>
  <c r="C83" i="31"/>
  <c r="D83" i="31"/>
  <c r="C84" i="31"/>
  <c r="D84" i="31"/>
  <c r="B85" i="31"/>
  <c r="C85" i="31"/>
  <c r="D85" i="31"/>
  <c r="B86" i="31"/>
  <c r="C86" i="31"/>
  <c r="D86" i="31"/>
  <c r="A83" i="3"/>
  <c r="A84" i="3"/>
  <c r="A86" i="3"/>
  <c r="A85" i="3"/>
  <c r="B92" i="31"/>
  <c r="C92" i="31"/>
  <c r="D92" i="31"/>
  <c r="B93" i="31"/>
  <c r="C93" i="31"/>
  <c r="D93" i="31"/>
  <c r="A93" i="3"/>
  <c r="D96" i="31"/>
  <c r="C96" i="31"/>
  <c r="B96" i="31"/>
  <c r="A96" i="3"/>
  <c r="A6" i="3"/>
  <c r="A9" i="3"/>
  <c r="A10" i="3"/>
  <c r="A11" i="3"/>
  <c r="A12" i="3"/>
  <c r="A13" i="3"/>
  <c r="A14" i="3"/>
  <c r="A15" i="3"/>
  <c r="A17" i="3"/>
  <c r="A18" i="3"/>
  <c r="A19" i="3"/>
  <c r="A20" i="3"/>
  <c r="A21" i="3"/>
  <c r="A22" i="3"/>
  <c r="A23" i="3"/>
  <c r="A28" i="3"/>
  <c r="A29" i="3"/>
  <c r="A31" i="3"/>
  <c r="A32" i="3"/>
  <c r="A36" i="3"/>
  <c r="A38" i="3"/>
  <c r="A39" i="3"/>
  <c r="A40" i="3"/>
  <c r="A41" i="3"/>
  <c r="A42" i="3"/>
  <c r="A43" i="3"/>
  <c r="A44" i="3"/>
  <c r="A46" i="3"/>
  <c r="A47" i="3"/>
  <c r="A48" i="3"/>
  <c r="A49" i="3"/>
  <c r="A50" i="3"/>
  <c r="A51" i="3"/>
  <c r="A52" i="3"/>
  <c r="A55" i="3"/>
  <c r="A56" i="3"/>
  <c r="A57" i="3"/>
  <c r="A59" i="3"/>
  <c r="A67" i="3"/>
  <c r="A72" i="3"/>
  <c r="A73" i="3"/>
  <c r="A74" i="3"/>
  <c r="A75" i="3"/>
  <c r="A76" i="3"/>
  <c r="A77" i="3"/>
  <c r="A79" i="3"/>
  <c r="A81" i="3"/>
  <c r="A82" i="3"/>
  <c r="A87" i="3"/>
  <c r="A88" i="3"/>
  <c r="A89" i="3"/>
  <c r="A90" i="3"/>
  <c r="A118" i="3"/>
  <c r="A119" i="3"/>
  <c r="A120" i="3"/>
  <c r="A121" i="3"/>
  <c r="A122" i="3"/>
  <c r="A123" i="3"/>
  <c r="A124" i="3"/>
  <c r="A125" i="3"/>
  <c r="A126" i="3"/>
  <c r="A127" i="3"/>
  <c r="A128" i="3"/>
  <c r="A92" i="3"/>
  <c r="A94" i="3"/>
  <c r="A95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91" i="3"/>
  <c r="D105" i="31"/>
  <c r="C105" i="31"/>
  <c r="B105" i="31"/>
  <c r="B99" i="31"/>
  <c r="C99" i="31"/>
  <c r="D99" i="31"/>
  <c r="B100" i="31"/>
  <c r="C100" i="31"/>
  <c r="D100" i="31"/>
  <c r="B101" i="31"/>
  <c r="C101" i="31"/>
  <c r="D101" i="31"/>
  <c r="F100" i="31"/>
  <c r="G100" i="31" s="1"/>
  <c r="F99" i="31"/>
  <c r="G99" i="31" s="1"/>
  <c r="B98" i="31"/>
  <c r="F127" i="31"/>
  <c r="G127" i="31" s="1"/>
  <c r="D127" i="31"/>
  <c r="C127" i="31"/>
  <c r="B103" i="31"/>
  <c r="C103" i="31"/>
  <c r="D103" i="31"/>
  <c r="D120" i="31"/>
  <c r="C120" i="31"/>
  <c r="B120" i="31"/>
  <c r="I13" i="31" l="1"/>
  <c r="B49" i="31"/>
  <c r="C49" i="31"/>
  <c r="D49" i="31"/>
  <c r="B50" i="31"/>
  <c r="C50" i="31"/>
  <c r="D50" i="31"/>
  <c r="B51" i="31"/>
  <c r="C51" i="31"/>
  <c r="D51" i="31"/>
  <c r="B52" i="31"/>
  <c r="C52" i="31"/>
  <c r="D52" i="31"/>
  <c r="F52" i="31"/>
  <c r="G52" i="31" s="1"/>
  <c r="F51" i="31"/>
  <c r="G51" i="31" s="1"/>
  <c r="F50" i="31"/>
  <c r="G50" i="31" s="1"/>
  <c r="F49" i="31"/>
  <c r="G49" i="31" s="1"/>
  <c r="B47" i="31" l="1"/>
  <c r="C47" i="31"/>
  <c r="D47" i="31"/>
  <c r="F47" i="31"/>
  <c r="G47" i="31" s="1"/>
  <c r="B79" i="31"/>
  <c r="C79" i="31"/>
  <c r="D79" i="31"/>
  <c r="F79" i="31"/>
  <c r="G79" i="31" s="1"/>
  <c r="F125" i="31"/>
  <c r="G125" i="31" s="1"/>
  <c r="D125" i="31"/>
  <c r="C125" i="31"/>
  <c r="B125" i="31"/>
  <c r="D124" i="31"/>
  <c r="C124" i="31"/>
  <c r="B124" i="31"/>
  <c r="D123" i="31"/>
  <c r="C123" i="31"/>
  <c r="B123" i="31"/>
  <c r="D122" i="31"/>
  <c r="C122" i="31"/>
  <c r="B122" i="31"/>
  <c r="D121" i="31"/>
  <c r="C121" i="31"/>
  <c r="B121" i="31"/>
  <c r="D119" i="31"/>
  <c r="C119" i="31"/>
  <c r="B119" i="31"/>
  <c r="D118" i="31"/>
  <c r="C118" i="31"/>
  <c r="B118" i="31"/>
  <c r="D117" i="31"/>
  <c r="C117" i="31"/>
  <c r="B117" i="31"/>
  <c r="D116" i="31"/>
  <c r="C116" i="31"/>
  <c r="B116" i="31"/>
  <c r="D115" i="31"/>
  <c r="C115" i="31"/>
  <c r="B115" i="31"/>
  <c r="D114" i="31"/>
  <c r="C114" i="31"/>
  <c r="B114" i="31"/>
  <c r="D113" i="31"/>
  <c r="C113" i="31"/>
  <c r="B113" i="31"/>
  <c r="D112" i="31"/>
  <c r="C112" i="31"/>
  <c r="B112" i="31"/>
  <c r="D111" i="31"/>
  <c r="C111" i="31"/>
  <c r="B111" i="31"/>
  <c r="D110" i="31"/>
  <c r="C110" i="31"/>
  <c r="B110" i="31"/>
  <c r="D109" i="31"/>
  <c r="C109" i="31"/>
  <c r="B109" i="31"/>
  <c r="D108" i="31"/>
  <c r="C108" i="31"/>
  <c r="B108" i="31"/>
  <c r="D107" i="31"/>
  <c r="C107" i="31"/>
  <c r="B107" i="31"/>
  <c r="D106" i="31"/>
  <c r="C106" i="31"/>
  <c r="B106" i="31"/>
  <c r="D104" i="31"/>
  <c r="C104" i="31"/>
  <c r="B104" i="31"/>
  <c r="D102" i="31"/>
  <c r="C102" i="31"/>
  <c r="B102" i="31"/>
  <c r="D98" i="31"/>
  <c r="C98" i="31"/>
  <c r="D97" i="31"/>
  <c r="C97" i="31"/>
  <c r="B97" i="31"/>
  <c r="D95" i="31"/>
  <c r="C95" i="31"/>
  <c r="B95" i="31"/>
  <c r="D94" i="31"/>
  <c r="C94" i="31"/>
  <c r="B94" i="31"/>
  <c r="D91" i="31"/>
  <c r="C91" i="31"/>
  <c r="B91" i="31"/>
  <c r="D90" i="31"/>
  <c r="C90" i="31"/>
  <c r="B90" i="31"/>
  <c r="D89" i="31"/>
  <c r="C89" i="31"/>
  <c r="B89" i="31"/>
  <c r="D88" i="31"/>
  <c r="C88" i="31"/>
  <c r="B88" i="31"/>
  <c r="D87" i="31"/>
  <c r="C87" i="31"/>
  <c r="B87" i="31"/>
  <c r="D82" i="31"/>
  <c r="C82" i="31"/>
  <c r="B82" i="31"/>
  <c r="D81" i="31"/>
  <c r="C81" i="31"/>
  <c r="B81" i="31"/>
  <c r="D77" i="31"/>
  <c r="C77" i="31"/>
  <c r="B77" i="31"/>
  <c r="D76" i="31"/>
  <c r="C76" i="31"/>
  <c r="B76" i="31"/>
  <c r="D75" i="31"/>
  <c r="C75" i="31"/>
  <c r="B75" i="31"/>
  <c r="D74" i="31"/>
  <c r="C74" i="31"/>
  <c r="B74" i="31"/>
  <c r="D73" i="31"/>
  <c r="C73" i="31"/>
  <c r="B73" i="31"/>
  <c r="D72" i="31"/>
  <c r="C72" i="31"/>
  <c r="B72" i="31"/>
  <c r="D67" i="31"/>
  <c r="C67" i="31"/>
  <c r="B67" i="31"/>
  <c r="D59" i="31"/>
  <c r="C59" i="31"/>
  <c r="B59" i="31"/>
  <c r="D57" i="31"/>
  <c r="C57" i="31"/>
  <c r="B57" i="31"/>
  <c r="D56" i="31"/>
  <c r="C56" i="31"/>
  <c r="B56" i="31"/>
  <c r="D55" i="31"/>
  <c r="C55" i="31"/>
  <c r="B55" i="31"/>
  <c r="D48" i="31"/>
  <c r="C48" i="31"/>
  <c r="B48" i="31"/>
  <c r="D46" i="31"/>
  <c r="C46" i="31"/>
  <c r="B46" i="31"/>
  <c r="D44" i="31"/>
  <c r="C44" i="31"/>
  <c r="B44" i="31"/>
  <c r="D43" i="31"/>
  <c r="C43" i="31"/>
  <c r="B43" i="31"/>
  <c r="D42" i="31"/>
  <c r="C42" i="31"/>
  <c r="B42" i="31"/>
  <c r="D41" i="31"/>
  <c r="C41" i="31"/>
  <c r="B41" i="31"/>
  <c r="D40" i="31"/>
  <c r="C40" i="31"/>
  <c r="B40" i="31"/>
  <c r="D39" i="31"/>
  <c r="C39" i="31"/>
  <c r="B39" i="31"/>
  <c r="D38" i="31"/>
  <c r="C38" i="31"/>
  <c r="B38" i="31"/>
  <c r="D36" i="31"/>
  <c r="C36" i="31"/>
  <c r="B36" i="31"/>
  <c r="D32" i="31"/>
  <c r="C32" i="31"/>
  <c r="B32" i="31"/>
  <c r="D31" i="31"/>
  <c r="C31" i="31"/>
  <c r="B31" i="31"/>
  <c r="D30" i="31"/>
  <c r="C30" i="31"/>
  <c r="B30" i="31"/>
  <c r="D29" i="31"/>
  <c r="C29" i="31"/>
  <c r="B29" i="31"/>
  <c r="D24" i="31"/>
  <c r="C24" i="31"/>
  <c r="B24" i="31"/>
  <c r="D23" i="31"/>
  <c r="C23" i="31"/>
  <c r="B23" i="31"/>
  <c r="D22" i="31"/>
  <c r="C22" i="31"/>
  <c r="B22" i="31"/>
  <c r="D21" i="31"/>
  <c r="C21" i="31"/>
  <c r="B21" i="31"/>
  <c r="D20" i="31"/>
  <c r="C20" i="31"/>
  <c r="B20" i="31"/>
  <c r="D19" i="31"/>
  <c r="C19" i="31"/>
  <c r="B19" i="31"/>
  <c r="D18" i="31"/>
  <c r="C18" i="31"/>
  <c r="B18" i="31"/>
  <c r="D16" i="31"/>
  <c r="C16" i="31"/>
  <c r="B16" i="31"/>
  <c r="D15" i="31"/>
  <c r="C15" i="31"/>
  <c r="B15" i="31"/>
  <c r="D14" i="31"/>
  <c r="C14" i="31"/>
  <c r="B14" i="31"/>
  <c r="D13" i="31"/>
  <c r="C13" i="31"/>
  <c r="B13" i="31"/>
  <c r="D12" i="31"/>
  <c r="C12" i="31"/>
  <c r="B12" i="31"/>
  <c r="D11" i="31"/>
  <c r="C11" i="31"/>
  <c r="B11" i="31"/>
  <c r="D10" i="31"/>
  <c r="C10" i="31"/>
  <c r="B10" i="31"/>
  <c r="D7" i="31"/>
  <c r="C7" i="31"/>
  <c r="B7" i="31"/>
  <c r="D1" i="31"/>
  <c r="F102" i="31"/>
  <c r="G102" i="31" s="1"/>
  <c r="F55" i="31" l="1"/>
  <c r="G55" i="31" s="1"/>
  <c r="F104" i="31"/>
  <c r="G104" i="31" s="1"/>
  <c r="F116" i="31"/>
  <c r="G116" i="31" s="1"/>
  <c r="F16" i="31"/>
  <c r="G16" i="31" s="1"/>
  <c r="F108" i="31"/>
  <c r="G108" i="31" s="1"/>
  <c r="F30" i="31"/>
  <c r="G30" i="31" s="1"/>
  <c r="F119" i="31"/>
  <c r="G119" i="31" s="1"/>
  <c r="F29" i="31"/>
  <c r="G29" i="31" s="1"/>
  <c r="F106" i="31"/>
  <c r="G106" i="31" s="1"/>
  <c r="F82" i="31"/>
  <c r="G82" i="31" s="1"/>
  <c r="F121" i="31"/>
  <c r="G121" i="31" s="1"/>
  <c r="F56" i="31"/>
  <c r="G56" i="31" s="1"/>
  <c r="F13" i="31"/>
  <c r="G13" i="31" s="1"/>
  <c r="F107" i="31"/>
  <c r="G107" i="31" s="1"/>
  <c r="F118" i="31"/>
  <c r="G118" i="31" s="1"/>
  <c r="F11" i="31"/>
  <c r="G11" i="31" s="1"/>
  <c r="F88" i="31"/>
  <c r="G88" i="31" s="1"/>
  <c r="F48" i="31"/>
  <c r="G48" i="31" s="1"/>
  <c r="F87" i="31"/>
  <c r="G87" i="31" s="1"/>
  <c r="F14" i="31"/>
  <c r="G14" i="31" s="1"/>
  <c r="F115" i="31"/>
  <c r="G115" i="31" s="1"/>
  <c r="F97" i="31"/>
  <c r="G97" i="31" s="1"/>
  <c r="F74" i="31"/>
  <c r="G74" i="31" s="1"/>
  <c r="F22" i="31"/>
  <c r="G22" i="31" s="1"/>
  <c r="F114" i="31"/>
  <c r="G114" i="31" s="1"/>
  <c r="F95" i="31"/>
  <c r="G95" i="31" s="1"/>
  <c r="F73" i="31"/>
  <c r="G73" i="31" s="1"/>
  <c r="F43" i="31"/>
  <c r="G43" i="31" s="1"/>
  <c r="F38" i="31"/>
  <c r="G38" i="31" s="1"/>
  <c r="F7" i="31"/>
  <c r="G7" i="31" s="1"/>
  <c r="F113" i="31"/>
  <c r="G113" i="31" s="1"/>
  <c r="F41" i="31"/>
  <c r="G41" i="31" s="1"/>
  <c r="F94" i="31"/>
  <c r="G94" i="31" s="1"/>
  <c r="F39" i="31"/>
  <c r="G39" i="31" s="1"/>
  <c r="F90" i="31"/>
  <c r="G90" i="31" s="1"/>
  <c r="F89" i="31"/>
  <c r="G89" i="31" s="1"/>
  <c r="F12" i="31"/>
  <c r="G12" i="31" s="1"/>
  <c r="F77" i="31"/>
  <c r="G77" i="31" s="1"/>
  <c r="F24" i="31"/>
  <c r="G24" i="31" s="1"/>
  <c r="F117" i="31"/>
  <c r="G117" i="31" s="1"/>
  <c r="F76" i="31"/>
  <c r="G76" i="31" s="1"/>
  <c r="F10" i="31"/>
  <c r="G10" i="31" s="1"/>
  <c r="F98" i="31"/>
  <c r="G98" i="31" s="1"/>
  <c r="F75" i="31"/>
  <c r="G75" i="31" s="1"/>
  <c r="F46" i="31"/>
  <c r="G46" i="31" s="1"/>
  <c r="F23" i="31"/>
  <c r="G23" i="31" s="1"/>
  <c r="F44" i="31"/>
  <c r="G44" i="31" s="1"/>
  <c r="F20" i="31"/>
  <c r="G20" i="31" s="1"/>
  <c r="F36" i="31"/>
  <c r="G36" i="31" s="1"/>
  <c r="F110" i="31"/>
  <c r="G110" i="31" s="1"/>
  <c r="F81" i="31"/>
  <c r="G81" i="31" s="1"/>
  <c r="F32" i="31"/>
  <c r="G32" i="31" s="1"/>
  <c r="F18" i="31"/>
  <c r="G18" i="31" s="1"/>
  <c r="F72" i="31"/>
  <c r="G72" i="31" s="1"/>
  <c r="F40" i="31"/>
  <c r="G40" i="31" s="1"/>
  <c r="F112" i="31"/>
  <c r="G112" i="31" s="1"/>
  <c r="F67" i="31"/>
  <c r="G67" i="31" s="1"/>
  <c r="F42" i="31"/>
  <c r="G42" i="31" s="1"/>
  <c r="F124" i="31"/>
  <c r="G124" i="31" s="1"/>
  <c r="F111" i="31"/>
  <c r="G111" i="31" s="1"/>
  <c r="F19" i="31"/>
  <c r="G19" i="31" s="1"/>
  <c r="F123" i="31"/>
  <c r="G123" i="31" s="1"/>
  <c r="F91" i="31"/>
  <c r="G91" i="31" s="1"/>
  <c r="F59" i="31"/>
  <c r="G59" i="31" s="1"/>
  <c r="F122" i="31"/>
  <c r="G122" i="31" s="1"/>
  <c r="F109" i="31"/>
  <c r="G109" i="31" s="1"/>
  <c r="F57" i="31"/>
  <c r="G57" i="31" s="1"/>
  <c r="F31" i="31"/>
  <c r="G31" i="31" s="1"/>
  <c r="F15" i="31"/>
  <c r="G15" i="31" s="1"/>
  <c r="F21" i="31"/>
  <c r="G21" i="31" s="1"/>
  <c r="G132" i="31" l="1"/>
  <c r="G133" i="31" s="1"/>
  <c r="G134" i="31" s="1"/>
  <c r="G135" i="31" l="1"/>
  <c r="G136" i="31" s="1"/>
  <c r="G138" i="31" s="1"/>
  <c r="G140" i="31"/>
  <c r="G141" i="31" s="1"/>
  <c r="G142" i="31" l="1"/>
</calcChain>
</file>

<file path=xl/sharedStrings.xml><?xml version="1.0" encoding="utf-8"?>
<sst xmlns="http://schemas.openxmlformats.org/spreadsheetml/2006/main" count="533" uniqueCount="299">
  <si>
    <t>ITEM</t>
  </si>
  <si>
    <t>UNIT</t>
  </si>
  <si>
    <t>PROJECT QUANTITY</t>
  </si>
  <si>
    <t>LF</t>
  </si>
  <si>
    <t>EA</t>
  </si>
  <si>
    <t>Subtotal (Excludes Mobilization and MOT)</t>
  </si>
  <si>
    <t>Total Estimated Construction Costs</t>
  </si>
  <si>
    <t>Estimated Construction Cost</t>
  </si>
  <si>
    <t>CY</t>
  </si>
  <si>
    <t>SY</t>
  </si>
  <si>
    <t>AC</t>
  </si>
  <si>
    <t>Notes:</t>
  </si>
  <si>
    <t>Unit Cost Breakdown</t>
  </si>
  <si>
    <t>Type B Stabilization</t>
  </si>
  <si>
    <t>TN</t>
  </si>
  <si>
    <t>Sediment Barrier (Silt Fence)</t>
  </si>
  <si>
    <t>Concrete Sidewalk and Driveways, 4"</t>
  </si>
  <si>
    <t>UNIT COST*</t>
  </si>
  <si>
    <t>ESTIMATED COST</t>
  </si>
  <si>
    <t>110-1-1</t>
  </si>
  <si>
    <t>104-10-3</t>
  </si>
  <si>
    <t>Embankment</t>
  </si>
  <si>
    <t>120-1</t>
  </si>
  <si>
    <t>120-6</t>
  </si>
  <si>
    <t>160-4</t>
  </si>
  <si>
    <t>Optional Base, Base Group 09</t>
  </si>
  <si>
    <t>GM</t>
  </si>
  <si>
    <t>Load Center, F&amp;I</t>
  </si>
  <si>
    <t>Conduit, F&amp;I, Open Trench</t>
  </si>
  <si>
    <t>630-2-11</t>
  </si>
  <si>
    <t>Performance Turf</t>
  </si>
  <si>
    <t>570-1-1</t>
  </si>
  <si>
    <t>Concrete Curb &amp; Gutter, Type F</t>
  </si>
  <si>
    <t>Concrete Curb &amp; Gutter, Type E</t>
  </si>
  <si>
    <t>520-1-7</t>
  </si>
  <si>
    <t>520-1-10</t>
  </si>
  <si>
    <t>Project Cost Estimate</t>
  </si>
  <si>
    <t>Total Design Costs</t>
  </si>
  <si>
    <t>FDOT Item ID</t>
  </si>
  <si>
    <t>Non-Standard Items</t>
  </si>
  <si>
    <t>Traffic Separator, 4' Wide</t>
  </si>
  <si>
    <t>520-5-11</t>
  </si>
  <si>
    <t>Aluminum Signals Pole, Pedestal</t>
  </si>
  <si>
    <t>646-1-11</t>
  </si>
  <si>
    <t>Concrete Class NS, Gravity Wall Index 400-011</t>
  </si>
  <si>
    <t>Concrete Curb, Type D</t>
  </si>
  <si>
    <t>Traffic Separator, 6' Wide</t>
  </si>
  <si>
    <t>520-5-12</t>
  </si>
  <si>
    <t>Clearing and Grubbing (includes trees)</t>
  </si>
  <si>
    <t>635-2-11</t>
  </si>
  <si>
    <t>400-0-11</t>
  </si>
  <si>
    <t>520-2-4</t>
  </si>
  <si>
    <t>Concrete Traffic Separator, Special-Variable Width</t>
  </si>
  <si>
    <t>520-70</t>
  </si>
  <si>
    <t>700-1-111</t>
  </si>
  <si>
    <t>Updated</t>
  </si>
  <si>
    <t>PI</t>
  </si>
  <si>
    <t>Signal Cable - New or Reconstructed Intersection, F&amp;I</t>
  </si>
  <si>
    <t>632-7-1</t>
  </si>
  <si>
    <t>Pedestrian Signal, F&amp;I LED Countdown, 1 Way</t>
  </si>
  <si>
    <t>653-1-11</t>
  </si>
  <si>
    <t>Pedestrian Detector, F&amp;I, Standard</t>
  </si>
  <si>
    <t>665-1-11</t>
  </si>
  <si>
    <t>522-1</t>
  </si>
  <si>
    <t>Concrete Curb, Type RA</t>
  </si>
  <si>
    <t>520-2-8</t>
  </si>
  <si>
    <t>Soil Tracking Prevention Device</t>
  </si>
  <si>
    <t>Inlet Protection System</t>
  </si>
  <si>
    <t>Litter Removal</t>
  </si>
  <si>
    <t>Mowing</t>
  </si>
  <si>
    <t>104-15</t>
  </si>
  <si>
    <t>104-18</t>
  </si>
  <si>
    <t>107-1</t>
  </si>
  <si>
    <t>107-2</t>
  </si>
  <si>
    <t>Raised Pavement Marker, Type B</t>
  </si>
  <si>
    <t>706-1-3</t>
  </si>
  <si>
    <t>Single Post Sign, F&amp;I Ground Mount, &lt;12 SF</t>
  </si>
  <si>
    <t>PAY ITEM NUMBER</t>
  </si>
  <si>
    <t>Calculation</t>
  </si>
  <si>
    <t>Vehicular Traffic Signal, F&amp;I Aluminum, 3 Section, 1 Way</t>
  </si>
  <si>
    <t>650-1-14</t>
  </si>
  <si>
    <t>Detectable Warnings</t>
  </si>
  <si>
    <t>SF</t>
  </si>
  <si>
    <t>527-2</t>
  </si>
  <si>
    <t>Conduit, F&amp;I, Directional Bore</t>
  </si>
  <si>
    <t>630-2-12</t>
  </si>
  <si>
    <t>660-4-11</t>
  </si>
  <si>
    <t>660-4-12</t>
  </si>
  <si>
    <t>Vehicle Detection System - Video, F&amp;I Cabinet Equipment</t>
  </si>
  <si>
    <t>Vehicle Detection System - Video, F&amp;I Above Ground Equipment</t>
  </si>
  <si>
    <t>Thermoplastic, Standard, White, Solid 12"</t>
  </si>
  <si>
    <t>711-11-123</t>
  </si>
  <si>
    <t>Thermoplastic, Standard, White, Solid 18"</t>
  </si>
  <si>
    <t>711-11-124</t>
  </si>
  <si>
    <t>Thermoplastic, Standard, White, Solid 24"</t>
  </si>
  <si>
    <t>711-11-125</t>
  </si>
  <si>
    <t>711-11-141</t>
  </si>
  <si>
    <t>Thermoplastic, Standard, White, Skip 2-4, 6"</t>
  </si>
  <si>
    <t>711-11-144</t>
  </si>
  <si>
    <t>Thermoplastic, Standard, White, Skip 2-2, 12"</t>
  </si>
  <si>
    <t>711-11-160</t>
  </si>
  <si>
    <t>711-11-170</t>
  </si>
  <si>
    <t>Thermoplastic, Standard, White, Messages</t>
  </si>
  <si>
    <t>Thermoplastic, Standard, White, Arrows</t>
  </si>
  <si>
    <t>Thermoplastic, Standard, Yellow, Skip 2-4, 6"</t>
  </si>
  <si>
    <t>711-11-241</t>
  </si>
  <si>
    <t>711-11-224</t>
  </si>
  <si>
    <t>Thermoplastic, Standard, Yellow, Solid 18"</t>
  </si>
  <si>
    <t>Thermoplastic, Standard, White, Solid 6"</t>
  </si>
  <si>
    <t>Thermoplastic, Standard, White, Skip 10-30, 6"</t>
  </si>
  <si>
    <t>Thermoplastic, Standard, Yellow, Solid 6"</t>
  </si>
  <si>
    <t>Mobilization and MOT (20% of construction cost)</t>
  </si>
  <si>
    <t>710-90</t>
  </si>
  <si>
    <t>Painted Pavement Markings, Final Surface</t>
  </si>
  <si>
    <t>LS</t>
  </si>
  <si>
    <t>Regular Excavation</t>
  </si>
  <si>
    <t>711-16-101</t>
  </si>
  <si>
    <t>711-16-131</t>
  </si>
  <si>
    <t>711-16-201</t>
  </si>
  <si>
    <t>Pole Cable Distribution System, F&amp;I, Conventional</t>
  </si>
  <si>
    <t>715-550-1</t>
  </si>
  <si>
    <t>Traffic Controller Assembly, F&amp;I, NEMA, 1 Preemption</t>
  </si>
  <si>
    <t>684-1-1</t>
  </si>
  <si>
    <t>Managed Field Ethernet Switch, F&amp;I</t>
  </si>
  <si>
    <t>Signal Priority and Preemption System, F&amp;I, GPS, Detector</t>
  </si>
  <si>
    <t>663-1-122</t>
  </si>
  <si>
    <t>670-5-111</t>
  </si>
  <si>
    <t>Prestressed Concrete Pole, F&amp;I, Type P-II Service Pole</t>
  </si>
  <si>
    <t>641-2-12</t>
  </si>
  <si>
    <t>Electrical Service Wire, F&amp;I</t>
  </si>
  <si>
    <t>Electrical Service Disconnect, F&amp;I, Pole Mount</t>
  </si>
  <si>
    <t>639-2-1</t>
  </si>
  <si>
    <t>639-3-11</t>
  </si>
  <si>
    <t>Statewide Unit Cost</t>
  </si>
  <si>
    <t>Light Pole Complete, Remove Pole and Foundation</t>
  </si>
  <si>
    <t>715-69-000</t>
  </si>
  <si>
    <t>Unit Cost Used</t>
  </si>
  <si>
    <t>327-70-6</t>
  </si>
  <si>
    <t>Milling Existing Asphalt Pavement, 1.5" Avg Depth</t>
  </si>
  <si>
    <t>Steel Mast Arm Assembly, F&amp;I, Single Arm 60'</t>
  </si>
  <si>
    <t>649-21-10</t>
  </si>
  <si>
    <t>Concrete Sidewalk and Driveways, 6"</t>
  </si>
  <si>
    <t>522-2</t>
  </si>
  <si>
    <t>US 17/92 Cost Estimate</t>
  </si>
  <si>
    <t>536-1-0</t>
  </si>
  <si>
    <t>536-73</t>
  </si>
  <si>
    <t>536-85-20</t>
  </si>
  <si>
    <t>536-85-24</t>
  </si>
  <si>
    <t>Guardrail - Roadway, GEN/LS TL-2</t>
  </si>
  <si>
    <t>Guardrail Removal</t>
  </si>
  <si>
    <t>Guardrail End Treat - Trailing Anchorage</t>
  </si>
  <si>
    <t>Guardrail End Treat - Para App Term</t>
  </si>
  <si>
    <t>Estimated CEI Costs (12%)</t>
  </si>
  <si>
    <t>Design Costs (7.5%)</t>
  </si>
  <si>
    <t>Light Pole Complete, F&amp;I, 40' Mounting Height, 12' Arm Length</t>
  </si>
  <si>
    <t>715-61-342</t>
  </si>
  <si>
    <t>715-7-12</t>
  </si>
  <si>
    <t>Lighting Conductors, F&amp;I, Insulated, No 4-2</t>
  </si>
  <si>
    <t>715-1-13</t>
  </si>
  <si>
    <t>713-107</t>
  </si>
  <si>
    <t>Preformed/Permanent Tape, Remove</t>
  </si>
  <si>
    <t>700-5-22</t>
  </si>
  <si>
    <t>Internally Illuminated Sign, F&amp;I Overhead Mount, 12-18 SF</t>
  </si>
  <si>
    <t>700-5-11</t>
  </si>
  <si>
    <t>Internally Illuminated Sign, F&amp;I Ground Mount, &lt;12 SF</t>
  </si>
  <si>
    <t>Currux Vission - Midblock Crossing - Pedestrian Monitoring</t>
  </si>
  <si>
    <t>700-1-112</t>
  </si>
  <si>
    <t>Single Post Sign, F&amp;I Ground Mount, 12-20 SF</t>
  </si>
  <si>
    <t>700-2-114</t>
  </si>
  <si>
    <t>700-2-115</t>
  </si>
  <si>
    <t>700-2-116</t>
  </si>
  <si>
    <t>Multi Post Sign, F&amp;I Ground Mount, 31-50 SF</t>
  </si>
  <si>
    <t>Multi Post Sign, F&amp;I Ground Mount, 51-100 SF</t>
  </si>
  <si>
    <t>Multi Post Sign, F&amp;I Ground Mount, 101-200 SF</t>
  </si>
  <si>
    <t>Sign Panel, F&amp;I Overhead Mount, &lt;12 SF</t>
  </si>
  <si>
    <t>700-3-201</t>
  </si>
  <si>
    <t>EHSA, AC, Ground MT, Beacon, &lt;12 SF</t>
  </si>
  <si>
    <t>700-141-111</t>
  </si>
  <si>
    <t>685-1-13</t>
  </si>
  <si>
    <t>685-2-1</t>
  </si>
  <si>
    <t>Uninterruptible Power Supply, F&amp;I, Line Interactive W Cab</t>
  </si>
  <si>
    <t>RPMU F&amp;I</t>
  </si>
  <si>
    <t>682-1-113</t>
  </si>
  <si>
    <t>676-2-111</t>
  </si>
  <si>
    <t>ITS Cabinet - F&amp;I, Pole, 336</t>
  </si>
  <si>
    <t>ITS CCTV Camera, F&amp;I, Dome Encl - Press</t>
  </si>
  <si>
    <t>660-2-106</t>
  </si>
  <si>
    <t>660-2-102</t>
  </si>
  <si>
    <t>660-1-102</t>
  </si>
  <si>
    <t>Loop Assembly, F&amp;I, Type F</t>
  </si>
  <si>
    <t>Loop Assembly, F&amp;I, Type B</t>
  </si>
  <si>
    <t>654-3-10</t>
  </si>
  <si>
    <t>Mid: Pedestrian Hybrid Beacon, F&amp;I, Comp</t>
  </si>
  <si>
    <t>641-2-13</t>
  </si>
  <si>
    <t>Prestressed Concrete Pole, F&amp;I, Type P-III</t>
  </si>
  <si>
    <t>639-1-121</t>
  </si>
  <si>
    <t>639-1-112</t>
  </si>
  <si>
    <t>AS</t>
  </si>
  <si>
    <t>Electrical Power Service, F&amp;I, Overhead Meter, Meter Purchased by Contractor from Power Company</t>
  </si>
  <si>
    <t>Electrical Power Service, F&amp;I, Underground, Meter Furnished by Power Company</t>
  </si>
  <si>
    <t>635-2-12</t>
  </si>
  <si>
    <t>635-2-13</t>
  </si>
  <si>
    <t>635-3-12</t>
  </si>
  <si>
    <t>Pull &amp; Splice Box, F&amp;I, 13''x 24''</t>
  </si>
  <si>
    <t>Pull &amp; Splice Box, F&amp;I, 24''x 36''</t>
  </si>
  <si>
    <t>Pull &amp; Splice Box, F&amp;I, 30''x 60'' Or 36"</t>
  </si>
  <si>
    <t>Junction Box, F&amp;I, Mounted</t>
  </si>
  <si>
    <t>633-1-121</t>
  </si>
  <si>
    <t>633-1-122</t>
  </si>
  <si>
    <t>633-1-123</t>
  </si>
  <si>
    <t>633-1-124</t>
  </si>
  <si>
    <t>633-2-31</t>
  </si>
  <si>
    <t>633-3-11</t>
  </si>
  <si>
    <t>633-3-15</t>
  </si>
  <si>
    <t>Fiber Optic Cable, F&amp;I, UG 2-12</t>
  </si>
  <si>
    <t>Fiber Optic Cable, F&amp;I, UG 13-48</t>
  </si>
  <si>
    <t>Fiber Optic Cable, F&amp;I, UG 49-96</t>
  </si>
  <si>
    <t>Fiber Optic Cable, F&amp;I, UG 97-144</t>
  </si>
  <si>
    <t>Fiber Optic Connection, Install, Splice</t>
  </si>
  <si>
    <t>Fiber Optic Connection, Hdwr, Preterm Patch Pan</t>
  </si>
  <si>
    <t>Fiber Optic Connection, Hdwr, Splice Enclosure</t>
  </si>
  <si>
    <t>Conduit, F&amp;I, Bridge Mount</t>
  </si>
  <si>
    <t>630-2-15</t>
  </si>
  <si>
    <t>550-10-220</t>
  </si>
  <si>
    <t>550-60-234</t>
  </si>
  <si>
    <t>Fencing, Type B, 5.1-6.0', Standard</t>
  </si>
  <si>
    <t>Fence Gate, Typ B, Slide/Cant, 18.1-20' Open</t>
  </si>
  <si>
    <t>Shldr Conc Barrier, 38" or 44" Height</t>
  </si>
  <si>
    <t>521-72-40</t>
  </si>
  <si>
    <t>Reedy Creek Bridge</t>
  </si>
  <si>
    <t>515-2-111</t>
  </si>
  <si>
    <t>Ped/Bicycle Railing, NS, 42" Type 1</t>
  </si>
  <si>
    <t>Mitered End Section, F&amp;I, 24" SD</t>
  </si>
  <si>
    <t>430-984-129</t>
  </si>
  <si>
    <t>Pipe Culvert, Opt Matl, Round, 24" S/CD</t>
  </si>
  <si>
    <t>430-175-124</t>
  </si>
  <si>
    <t>430-175-130</t>
  </si>
  <si>
    <t>Pipe Culvert, Opt Matl, Round, 30" S/CD</t>
  </si>
  <si>
    <t>430-175-136</t>
  </si>
  <si>
    <t>430-175-142</t>
  </si>
  <si>
    <t>430-175-160</t>
  </si>
  <si>
    <t>Pipe Culvert, Opt Matl, Round, 36" S/CD</t>
  </si>
  <si>
    <t>Pipe Culvert, Opt Matl, Round, 42" S/CD</t>
  </si>
  <si>
    <t>Pipe Culvert, Opt Matl, Round, 60" S/CD</t>
  </si>
  <si>
    <t>Manholes, J-7, &lt;10'</t>
  </si>
  <si>
    <t>425-1-541</t>
  </si>
  <si>
    <t>Inlets, Ditch Bottom, Type D, &lt;10'</t>
  </si>
  <si>
    <t>425-2-71</t>
  </si>
  <si>
    <t>425-1-361</t>
  </si>
  <si>
    <t>Inlets, Curb, Type P-6, &lt;10'</t>
  </si>
  <si>
    <t>415-1-9</t>
  </si>
  <si>
    <t>Reinf Steel - Approach Slabs</t>
  </si>
  <si>
    <t>LB</t>
  </si>
  <si>
    <t>415-1-1</t>
  </si>
  <si>
    <t>Reinf Steel - Roadway</t>
  </si>
  <si>
    <t>400-2-10</t>
  </si>
  <si>
    <t>400-4-1</t>
  </si>
  <si>
    <t>Concrete Class II, Approach Slabs</t>
  </si>
  <si>
    <t>Concrete Class IV, Culverts</t>
  </si>
  <si>
    <t>337-7-83</t>
  </si>
  <si>
    <t>Superpave Asphaltic Concrete Friction Course, Traffic C, FC-12.5, PG 76-22</t>
  </si>
  <si>
    <t>334-1-13</t>
  </si>
  <si>
    <t>Superpave Asphaltic Concrete, Traffic C</t>
  </si>
  <si>
    <t>285-709</t>
  </si>
  <si>
    <t>120-4</t>
  </si>
  <si>
    <t>Subsoil Excavation</t>
  </si>
  <si>
    <t>110-3</t>
  </si>
  <si>
    <t>Removal of Existing Structures/Bridges</t>
  </si>
  <si>
    <t>104-11</t>
  </si>
  <si>
    <t>104-12</t>
  </si>
  <si>
    <t>Floating Turbidity Barrier</t>
  </si>
  <si>
    <t>Staked Turbidity Barrier - Nyl Reinf PVC</t>
  </si>
  <si>
    <t>649-21-3</t>
  </si>
  <si>
    <t>649-21-15</t>
  </si>
  <si>
    <t>Steel Mast Arm Assembly, F&amp;I, Single Arm 40'</t>
  </si>
  <si>
    <t>Steel Mast Arm Assembly, F&amp;I, Single Arm 70'</t>
  </si>
  <si>
    <t>Design Unknowns (10%)</t>
  </si>
  <si>
    <t>Project Unknowns (20%)</t>
  </si>
  <si>
    <t>Area 8 Unit Cost (Statewide if Area not available)</t>
  </si>
  <si>
    <t>MISC PVT</t>
  </si>
  <si>
    <t>low points</t>
  </si>
  <si>
    <t>Current 12 Month Moving Statewide Average (6/01/2025 - 5/31/2026)</t>
  </si>
  <si>
    <t>Current 12 Month Moving Areawide Average (6/01/2025 - 5/31/2026)</t>
  </si>
  <si>
    <t xml:space="preserve">* Unit Cost are provided by higher of FDOT's Current 12 Month Market Area 8 Moving Average (6/01/2025 - 5/31/2026) and </t>
  </si>
  <si>
    <t>FDOT's Current 12 Month Statewide Moving Average (6/01/2025 - 5/31/2026)</t>
  </si>
  <si>
    <t>Loop Detector Inductive, F&amp;I, Type 9</t>
  </si>
  <si>
    <t>Pond 3</t>
  </si>
  <si>
    <t>LT</t>
  </si>
  <si>
    <t>RT</t>
  </si>
  <si>
    <t>Pond 4</t>
  </si>
  <si>
    <t>Begin</t>
  </si>
  <si>
    <t>End</t>
  </si>
  <si>
    <t>Plus 75' from EOP to pond bottom</t>
  </si>
  <si>
    <t>Pond 3 L</t>
  </si>
  <si>
    <t>Pond 3 R</t>
  </si>
  <si>
    <t>Pond 4 L</t>
  </si>
  <si>
    <t>Pond 4 R</t>
  </si>
  <si>
    <t xml:space="preserve">Plus 60' from Lt EOP to Rt Eop Crossing </t>
  </si>
  <si>
    <t>Total Construction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</si>
</sst>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$-F800]dddd\,\ mmmm\ dd\,\ yyyy"/>
    <numFmt numFmtId="165" formatCode="0.0"/>
    <numFmt numFmtId="166" formatCode="#,##0.0"/>
    <numFmt numFmtId="167" formatCode="0\+0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i/>
      <sz val="14"/>
      <name val="Arial"/>
      <family val="2"/>
    </font>
    <font>
      <sz val="11"/>
      <color theme="1"/>
      <name val="FDOT"/>
    </font>
    <font>
      <sz val="11"/>
      <color theme="1"/>
      <name val="Arial"/>
      <family val="2"/>
    </font>
    <font>
      <i/>
      <sz val="12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FDOT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FDOT"/>
    </font>
    <font>
      <sz val="11"/>
      <color theme="4"/>
      <name val="FDO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4" xfId="0" applyFont="1" applyBorder="1"/>
    <xf numFmtId="44" fontId="4" fillId="0" borderId="11" xfId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/>
    </xf>
    <xf numFmtId="44" fontId="4" fillId="0" borderId="4" xfId="2" applyFont="1" applyFill="1" applyBorder="1"/>
    <xf numFmtId="0" fontId="4" fillId="0" borderId="4" xfId="0" applyFont="1" applyBorder="1" applyAlignment="1">
      <alignment wrapText="1"/>
    </xf>
    <xf numFmtId="44" fontId="4" fillId="0" borderId="19" xfId="1" applyFont="1" applyFill="1" applyBorder="1" applyAlignment="1">
      <alignment horizontal="right" vertical="center"/>
    </xf>
    <xf numFmtId="0" fontId="4" fillId="0" borderId="20" xfId="0" applyFont="1" applyBorder="1"/>
    <xf numFmtId="44" fontId="3" fillId="0" borderId="4" xfId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/>
    </xf>
    <xf numFmtId="0" fontId="12" fillId="0" borderId="0" xfId="0" applyFont="1"/>
    <xf numFmtId="44" fontId="7" fillId="0" borderId="0" xfId="0" applyNumberFormat="1" applyFont="1"/>
    <xf numFmtId="0" fontId="13" fillId="0" borderId="0" xfId="0" applyFont="1"/>
    <xf numFmtId="0" fontId="4" fillId="0" borderId="1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3" borderId="1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44" fontId="7" fillId="0" borderId="0" xfId="2" applyFont="1"/>
    <xf numFmtId="44" fontId="3" fillId="0" borderId="11" xfId="1" applyFont="1" applyFill="1" applyBorder="1" applyAlignment="1">
      <alignment horizontal="right" vertical="center"/>
    </xf>
    <xf numFmtId="0" fontId="15" fillId="0" borderId="0" xfId="0" applyFont="1"/>
    <xf numFmtId="0" fontId="0" fillId="0" borderId="25" xfId="0" applyBorder="1"/>
    <xf numFmtId="0" fontId="5" fillId="0" borderId="2" xfId="0" applyFont="1" applyBorder="1" applyAlignment="1">
      <alignment horizontal="left"/>
    </xf>
    <xf numFmtId="0" fontId="0" fillId="0" borderId="27" xfId="0" applyBorder="1"/>
    <xf numFmtId="44" fontId="0" fillId="0" borderId="25" xfId="0" applyNumberFormat="1" applyBorder="1"/>
    <xf numFmtId="165" fontId="5" fillId="0" borderId="25" xfId="0" applyNumberFormat="1" applyFont="1" applyBorder="1" applyAlignment="1">
      <alignment horizontal="right"/>
    </xf>
    <xf numFmtId="0" fontId="4" fillId="0" borderId="4" xfId="0" applyFont="1" applyBorder="1" applyAlignment="1">
      <alignment vertical="center" wrapText="1"/>
    </xf>
    <xf numFmtId="0" fontId="0" fillId="0" borderId="25" xfId="0" applyBorder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25" xfId="0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165" fontId="5" fillId="0" borderId="14" xfId="0" applyNumberFormat="1" applyFont="1" applyBorder="1" applyAlignment="1">
      <alignment horizontal="center"/>
    </xf>
    <xf numFmtId="44" fontId="8" fillId="0" borderId="16" xfId="2" applyFont="1" applyFill="1" applyBorder="1" applyAlignment="1">
      <alignment horizontal="center"/>
    </xf>
    <xf numFmtId="44" fontId="5" fillId="0" borderId="16" xfId="2" applyFont="1" applyFill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44" fontId="5" fillId="0" borderId="3" xfId="2" applyFont="1" applyFill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/>
    </xf>
    <xf numFmtId="44" fontId="8" fillId="0" borderId="1" xfId="2" applyFont="1" applyFill="1" applyBorder="1" applyAlignment="1">
      <alignment horizontal="center"/>
    </xf>
    <xf numFmtId="44" fontId="5" fillId="0" borderId="1" xfId="2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44" fontId="5" fillId="0" borderId="29" xfId="2" applyFont="1" applyFill="1" applyBorder="1" applyAlignment="1">
      <alignment horizontal="center" vertical="center"/>
    </xf>
    <xf numFmtId="44" fontId="5" fillId="0" borderId="31" xfId="2" applyFont="1" applyFill="1" applyBorder="1" applyAlignment="1">
      <alignment horizontal="center" vertical="center"/>
    </xf>
    <xf numFmtId="165" fontId="5" fillId="0" borderId="30" xfId="0" applyNumberFormat="1" applyFont="1" applyBorder="1" applyAlignment="1">
      <alignment horizontal="center"/>
    </xf>
    <xf numFmtId="44" fontId="5" fillId="0" borderId="36" xfId="2" applyFont="1" applyFill="1" applyBorder="1" applyAlignment="1">
      <alignment horizontal="center" vertical="center"/>
    </xf>
    <xf numFmtId="165" fontId="5" fillId="0" borderId="35" xfId="0" applyNumberFormat="1" applyFont="1" applyBorder="1" applyAlignment="1">
      <alignment horizontal="center"/>
    </xf>
    <xf numFmtId="2" fontId="8" fillId="5" borderId="0" xfId="0" applyNumberFormat="1" applyFont="1" applyFill="1"/>
    <xf numFmtId="0" fontId="8" fillId="5" borderId="0" xfId="0" applyFont="1" applyFill="1"/>
    <xf numFmtId="2" fontId="7" fillId="0" borderId="0" xfId="0" applyNumberFormat="1" applyFont="1"/>
    <xf numFmtId="0" fontId="4" fillId="0" borderId="6" xfId="0" applyFont="1" applyBorder="1" applyAlignment="1">
      <alignment vertical="center"/>
    </xf>
    <xf numFmtId="0" fontId="4" fillId="4" borderId="39" xfId="0" applyFont="1" applyFill="1" applyBorder="1" applyAlignment="1">
      <alignment vertical="center"/>
    </xf>
    <xf numFmtId="0" fontId="10" fillId="4" borderId="40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4" fillId="0" borderId="7" xfId="0" applyFont="1" applyBorder="1" applyAlignment="1">
      <alignment vertical="center"/>
    </xf>
    <xf numFmtId="44" fontId="10" fillId="4" borderId="41" xfId="1" applyFont="1" applyFill="1" applyBorder="1" applyAlignment="1">
      <alignment horizontal="right" vertical="center"/>
    </xf>
    <xf numFmtId="2" fontId="16" fillId="0" borderId="0" xfId="0" applyNumberFormat="1" applyFont="1"/>
    <xf numFmtId="2" fontId="8" fillId="0" borderId="0" xfId="0" applyNumberFormat="1" applyFont="1"/>
    <xf numFmtId="1" fontId="8" fillId="0" borderId="0" xfId="0" applyNumberFormat="1" applyFont="1"/>
    <xf numFmtId="166" fontId="4" fillId="0" borderId="4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44" fontId="5" fillId="0" borderId="32" xfId="2" applyFont="1" applyFill="1" applyBorder="1" applyAlignment="1">
      <alignment horizontal="center" vertical="center"/>
    </xf>
    <xf numFmtId="3" fontId="8" fillId="0" borderId="0" xfId="0" applyNumberFormat="1" applyFont="1"/>
    <xf numFmtId="0" fontId="7" fillId="0" borderId="42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42" xfId="0" applyFont="1" applyBorder="1" applyAlignment="1">
      <alignment horizontal="left"/>
    </xf>
    <xf numFmtId="1" fontId="8" fillId="5" borderId="0" xfId="0" applyNumberFormat="1" applyFont="1" applyFill="1"/>
    <xf numFmtId="1" fontId="2" fillId="0" borderId="0" xfId="0" applyNumberFormat="1" applyFont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1" fontId="4" fillId="0" borderId="0" xfId="2" applyNumberFormat="1" applyFont="1" applyFill="1" applyBorder="1"/>
    <xf numFmtId="1" fontId="3" fillId="0" borderId="0" xfId="0" applyNumberFormat="1" applyFont="1" applyAlignment="1">
      <alignment horizontal="left" vertical="center"/>
    </xf>
    <xf numFmtId="1" fontId="4" fillId="0" borderId="0" xfId="1" applyNumberFormat="1" applyFont="1" applyFill="1" applyBorder="1" applyAlignment="1">
      <alignment horizontal="right" vertical="center"/>
    </xf>
    <xf numFmtId="1" fontId="3" fillId="0" borderId="0" xfId="1" applyNumberFormat="1" applyFont="1" applyFill="1" applyBorder="1" applyAlignment="1">
      <alignment horizontal="right" vertical="center"/>
    </xf>
    <xf numFmtId="1" fontId="10" fillId="0" borderId="0" xfId="1" applyNumberFormat="1" applyFont="1" applyFill="1" applyBorder="1" applyAlignment="1">
      <alignment horizontal="right" vertical="center"/>
    </xf>
    <xf numFmtId="1" fontId="7" fillId="0" borderId="0" xfId="0" applyNumberFormat="1" applyFont="1"/>
    <xf numFmtId="1" fontId="4" fillId="5" borderId="0" xfId="2" applyNumberFormat="1" applyFont="1" applyFill="1" applyBorder="1"/>
    <xf numFmtId="44" fontId="5" fillId="0" borderId="36" xfId="2" applyFont="1" applyBorder="1" applyAlignment="1">
      <alignment horizontal="center" vertical="center"/>
    </xf>
    <xf numFmtId="44" fontId="5" fillId="0" borderId="37" xfId="2" applyFont="1" applyBorder="1" applyAlignment="1">
      <alignment horizontal="center" vertical="center"/>
    </xf>
    <xf numFmtId="44" fontId="5" fillId="0" borderId="38" xfId="2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167" fontId="0" fillId="0" borderId="0" xfId="0" applyNumberFormat="1"/>
    <xf numFmtId="2" fontId="0" fillId="0" borderId="0" xfId="0" applyNumberFormat="1"/>
    <xf numFmtId="0" fontId="10" fillId="4" borderId="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164" fontId="2" fillId="0" borderId="23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Currency" xfId="2" builtinId="4"/>
    <cellStyle name="Currency 3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B48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070C-6EB3-4C37-9A1A-A02D03DFE768}">
  <sheetPr>
    <pageSetUpPr fitToPage="1"/>
  </sheetPr>
  <dimension ref="B1:AW145"/>
  <sheetViews>
    <sheetView tabSelected="1" topLeftCell="A102" zoomScale="84" zoomScaleNormal="84" zoomScaleSheetLayoutView="100" workbookViewId="0">
      <selection activeCell="E129" sqref="E129"/>
    </sheetView>
  </sheetViews>
  <sheetFormatPr defaultColWidth="9.28515625" defaultRowHeight="14.25"/>
  <cols>
    <col min="1" max="1" width="2.7109375" style="3" customWidth="1"/>
    <col min="2" max="2" width="14.42578125" style="3" customWidth="1"/>
    <col min="3" max="3" width="102.140625" style="3" customWidth="1"/>
    <col min="4" max="4" width="6.5703125" style="4" bestFit="1" customWidth="1"/>
    <col min="5" max="5" width="14.7109375" style="3" customWidth="1"/>
    <col min="6" max="6" width="18.7109375" style="3" bestFit="1" customWidth="1"/>
    <col min="7" max="7" width="27.28515625" style="3" bestFit="1" customWidth="1"/>
    <col min="8" max="8" width="18.7109375" style="89" hidden="1" customWidth="1"/>
    <col min="9" max="9" width="17" style="3" hidden="1" customWidth="1"/>
    <col min="10" max="10" width="35.28515625" style="3" bestFit="1" customWidth="1"/>
    <col min="11" max="11" width="40.5703125" style="3" customWidth="1"/>
    <col min="12" max="16384" width="9.28515625" style="3"/>
  </cols>
  <sheetData>
    <row r="1" spans="2:13" ht="21.75" customHeight="1">
      <c r="B1" s="101" t="s">
        <v>36</v>
      </c>
      <c r="C1" s="102"/>
      <c r="D1" s="103">
        <f ca="1">NOW()</f>
        <v>46220.682941782405</v>
      </c>
      <c r="E1" s="103"/>
      <c r="F1" s="103"/>
      <c r="G1" s="104"/>
      <c r="H1" s="81"/>
      <c r="I1" s="5"/>
      <c r="J1" s="5"/>
      <c r="K1" s="5"/>
      <c r="L1" s="5"/>
      <c r="M1" s="5"/>
    </row>
    <row r="2" spans="2:13" ht="16.149999999999999" customHeight="1">
      <c r="B2" s="105" t="s">
        <v>143</v>
      </c>
      <c r="C2" s="106"/>
      <c r="D2" s="106"/>
      <c r="E2" s="106"/>
      <c r="F2" s="106"/>
      <c r="G2" s="107"/>
      <c r="H2" s="82"/>
      <c r="I2" s="5"/>
      <c r="J2" s="5"/>
      <c r="K2" s="5"/>
      <c r="L2" s="5"/>
      <c r="M2" s="5"/>
    </row>
    <row r="3" spans="2:13" ht="16.149999999999999" customHeight="1">
      <c r="B3" s="108"/>
      <c r="C3" s="106"/>
      <c r="D3" s="106"/>
      <c r="E3" s="106"/>
      <c r="F3" s="106"/>
      <c r="G3" s="107"/>
      <c r="H3" s="82"/>
      <c r="I3" s="5"/>
      <c r="J3" s="5"/>
      <c r="K3" s="94"/>
      <c r="L3" s="5"/>
      <c r="M3" s="5"/>
    </row>
    <row r="4" spans="2:13" ht="16.149999999999999" customHeight="1" thickBot="1">
      <c r="B4" s="109"/>
      <c r="C4" s="110"/>
      <c r="D4" s="110"/>
      <c r="E4" s="110"/>
      <c r="F4" s="110"/>
      <c r="G4" s="111"/>
      <c r="H4" s="82"/>
      <c r="I4" s="5"/>
      <c r="J4" s="5"/>
      <c r="K4" s="5"/>
      <c r="L4" s="5"/>
      <c r="M4" s="5"/>
    </row>
    <row r="5" spans="2:13" ht="16.149999999999999" customHeight="1">
      <c r="B5" s="112" t="s">
        <v>77</v>
      </c>
      <c r="C5" s="114" t="s">
        <v>0</v>
      </c>
      <c r="D5" s="114" t="s">
        <v>1</v>
      </c>
      <c r="E5" s="112" t="s">
        <v>2</v>
      </c>
      <c r="F5" s="116" t="s">
        <v>17</v>
      </c>
      <c r="G5" s="116" t="s">
        <v>18</v>
      </c>
      <c r="H5" s="83"/>
      <c r="I5" s="5"/>
      <c r="K5" s="5"/>
      <c r="L5" s="5"/>
      <c r="M5" s="5"/>
    </row>
    <row r="6" spans="2:13" ht="16.149999999999999" customHeight="1" thickBot="1">
      <c r="B6" s="113"/>
      <c r="C6" s="115"/>
      <c r="D6" s="115"/>
      <c r="E6" s="113"/>
      <c r="F6" s="117"/>
      <c r="G6" s="117"/>
      <c r="H6" s="83"/>
      <c r="I6" s="15" t="s">
        <v>78</v>
      </c>
      <c r="J6" s="15"/>
      <c r="K6" s="5"/>
      <c r="L6" s="5"/>
      <c r="M6" s="5"/>
    </row>
    <row r="7" spans="2:13" ht="15">
      <c r="B7" s="12" t="str">
        <f>'Unit Costs'!G6</f>
        <v>104-10-3</v>
      </c>
      <c r="C7" s="6" t="str">
        <f>'Unit Costs'!B6</f>
        <v>Sediment Barrier (Silt Fence)</v>
      </c>
      <c r="D7" s="8" t="str">
        <f>'Unit Costs'!C6</f>
        <v>LF</v>
      </c>
      <c r="E7" s="47">
        <v>38500</v>
      </c>
      <c r="F7" s="9">
        <f>'Unit Costs'!F6</f>
        <v>3.16</v>
      </c>
      <c r="G7" s="9">
        <f>ROUNDUP((E7*F7),-3)</f>
        <v>122000</v>
      </c>
      <c r="H7" s="84"/>
      <c r="I7" s="69">
        <f>(2*19340*1.1)-(2*2335)</f>
        <v>37878</v>
      </c>
    </row>
    <row r="8" spans="2:13" ht="15">
      <c r="B8" s="12" t="str">
        <f>'Unit Costs'!G7</f>
        <v>104-11</v>
      </c>
      <c r="C8" s="6" t="str">
        <f>'Unit Costs'!B7</f>
        <v>Floating Turbidity Barrier</v>
      </c>
      <c r="D8" s="8" t="str">
        <f>'Unit Costs'!C7</f>
        <v>LF</v>
      </c>
      <c r="E8" s="47">
        <v>5200</v>
      </c>
      <c r="F8" s="9">
        <f>'Unit Costs'!F7</f>
        <v>6.61</v>
      </c>
      <c r="G8" s="9">
        <f t="shared" ref="G8:G9" si="0">ROUNDUP((E8*F8),-3)</f>
        <v>35000</v>
      </c>
      <c r="H8" s="84"/>
      <c r="I8" s="68">
        <f>2335*2*1.1</f>
        <v>5137</v>
      </c>
    </row>
    <row r="9" spans="2:13" ht="15">
      <c r="B9" s="12" t="str">
        <f>'Unit Costs'!G8</f>
        <v>104-12</v>
      </c>
      <c r="C9" s="6" t="str">
        <f>'Unit Costs'!B8</f>
        <v>Staked Turbidity Barrier - Nyl Reinf PVC</v>
      </c>
      <c r="D9" s="8" t="str">
        <f>'Unit Costs'!C8</f>
        <v>LF</v>
      </c>
      <c r="E9" s="47">
        <v>5200</v>
      </c>
      <c r="F9" s="9">
        <f>'Unit Costs'!F8</f>
        <v>9.33</v>
      </c>
      <c r="G9" s="9">
        <f t="shared" si="0"/>
        <v>49000</v>
      </c>
      <c r="H9" s="84"/>
      <c r="I9" s="68">
        <f>2335*2*1.1</f>
        <v>5137</v>
      </c>
    </row>
    <row r="10" spans="2:13" ht="15">
      <c r="B10" s="12" t="str">
        <f>'Unit Costs'!G9</f>
        <v>104-15</v>
      </c>
      <c r="C10" s="6" t="str">
        <f>'Unit Costs'!B9</f>
        <v>Soil Tracking Prevention Device</v>
      </c>
      <c r="D10" s="8" t="str">
        <f>'Unit Costs'!C9</f>
        <v>EA</v>
      </c>
      <c r="E10" s="47">
        <v>13</v>
      </c>
      <c r="F10" s="9">
        <f>'Unit Costs'!F9</f>
        <v>4316.03</v>
      </c>
      <c r="G10" s="9">
        <f t="shared" ref="G10:G98" si="1">ROUNDUP((E10*F10),-3)</f>
        <v>57000</v>
      </c>
      <c r="H10" s="84"/>
      <c r="I10" s="5">
        <v>13</v>
      </c>
    </row>
    <row r="11" spans="2:13" ht="15">
      <c r="B11" s="12" t="str">
        <f>'Unit Costs'!G10</f>
        <v>104-18</v>
      </c>
      <c r="C11" s="6" t="str">
        <f>'Unit Costs'!B10</f>
        <v>Inlet Protection System</v>
      </c>
      <c r="D11" s="8" t="str">
        <f>'Unit Costs'!C10</f>
        <v>EA</v>
      </c>
      <c r="E11" s="47">
        <v>250</v>
      </c>
      <c r="F11" s="9">
        <f>'Unit Costs'!F10</f>
        <v>166.53</v>
      </c>
      <c r="G11" s="9">
        <f t="shared" si="1"/>
        <v>42000</v>
      </c>
      <c r="H11" s="84"/>
      <c r="I11" s="5">
        <f>I29</f>
        <v>242</v>
      </c>
    </row>
    <row r="12" spans="2:13" ht="15">
      <c r="B12" s="12" t="str">
        <f>'Unit Costs'!G11</f>
        <v>107-1</v>
      </c>
      <c r="C12" s="6" t="str">
        <f>'Unit Costs'!B11</f>
        <v>Litter Removal</v>
      </c>
      <c r="D12" s="8" t="str">
        <f>'Unit Costs'!C11</f>
        <v>AC</v>
      </c>
      <c r="E12" s="47">
        <v>100</v>
      </c>
      <c r="F12" s="9">
        <f>'Unit Costs'!F11</f>
        <v>26.86</v>
      </c>
      <c r="G12" s="9">
        <f t="shared" si="1"/>
        <v>3000</v>
      </c>
      <c r="H12" s="84"/>
      <c r="I12" s="80">
        <f>I14</f>
        <v>98.635720844811758</v>
      </c>
    </row>
    <row r="13" spans="2:13" ht="15">
      <c r="B13" s="12" t="str">
        <f>'Unit Costs'!G12</f>
        <v>107-2</v>
      </c>
      <c r="C13" s="6" t="str">
        <f>'Unit Costs'!B12</f>
        <v>Mowing</v>
      </c>
      <c r="D13" s="8" t="str">
        <f>'Unit Costs'!C12</f>
        <v>AC</v>
      </c>
      <c r="E13" s="47">
        <v>100</v>
      </c>
      <c r="F13" s="9">
        <f>'Unit Costs'!F12</f>
        <v>34.19</v>
      </c>
      <c r="G13" s="9">
        <f t="shared" si="1"/>
        <v>4000</v>
      </c>
      <c r="H13" s="84"/>
      <c r="I13" s="80">
        <f>I14</f>
        <v>98.635720844811758</v>
      </c>
    </row>
    <row r="14" spans="2:13" ht="15">
      <c r="B14" s="12" t="str">
        <f>'Unit Costs'!G13</f>
        <v>110-1-1</v>
      </c>
      <c r="C14" s="6" t="str">
        <f>'Unit Costs'!B13</f>
        <v>Clearing and Grubbing (includes trees)</v>
      </c>
      <c r="D14" s="8" t="str">
        <f>'Unit Costs'!C13</f>
        <v>AC</v>
      </c>
      <c r="E14" s="47">
        <v>100</v>
      </c>
      <c r="F14" s="9">
        <f>'Unit Costs'!F13</f>
        <v>48194.96</v>
      </c>
      <c r="G14" s="9">
        <f t="shared" si="1"/>
        <v>4820000</v>
      </c>
      <c r="H14" s="90">
        <f>4296572</f>
        <v>4296572</v>
      </c>
      <c r="I14" s="80">
        <f>H14/43560</f>
        <v>98.635720844811758</v>
      </c>
    </row>
    <row r="15" spans="2:13" ht="15">
      <c r="B15" s="12" t="str">
        <f>'Unit Costs'!G14</f>
        <v>110-3</v>
      </c>
      <c r="C15" s="6" t="str">
        <f>'Unit Costs'!B14</f>
        <v>Removal of Existing Structures/Bridges</v>
      </c>
      <c r="D15" s="8" t="str">
        <f>'Unit Costs'!C14</f>
        <v>SF</v>
      </c>
      <c r="E15" s="47">
        <v>12500</v>
      </c>
      <c r="F15" s="9">
        <f>'Unit Costs'!F14</f>
        <v>57.26</v>
      </c>
      <c r="G15" s="9">
        <f t="shared" si="1"/>
        <v>716000</v>
      </c>
      <c r="H15" s="84"/>
      <c r="I15" s="69">
        <v>12448.44</v>
      </c>
    </row>
    <row r="16" spans="2:13" ht="15">
      <c r="B16" s="12" t="str">
        <f>'Unit Costs'!G15</f>
        <v>120-1</v>
      </c>
      <c r="C16" s="6" t="str">
        <f>'Unit Costs'!B15</f>
        <v>Regular Excavation</v>
      </c>
      <c r="D16" s="8" t="str">
        <f>'Unit Costs'!C15</f>
        <v>CY</v>
      </c>
      <c r="E16" s="47">
        <v>350000</v>
      </c>
      <c r="F16" s="9">
        <f>'Unit Costs'!F15</f>
        <v>6.93</v>
      </c>
      <c r="G16" s="9">
        <f t="shared" si="1"/>
        <v>2426000</v>
      </c>
      <c r="H16" s="84"/>
      <c r="I16" s="69">
        <f>(((220593+645066+6104+995)*2*1/27)*1.5)+(48400+24200+9680+96800+16133.33+48400)</f>
        <v>340586.44111111108</v>
      </c>
      <c r="K16" s="95"/>
    </row>
    <row r="17" spans="2:19" ht="15">
      <c r="B17" s="12" t="str">
        <f>'Unit Costs'!G16</f>
        <v>120-4</v>
      </c>
      <c r="C17" s="6" t="str">
        <f>'Unit Costs'!B16</f>
        <v>Subsoil Excavation</v>
      </c>
      <c r="D17" s="8" t="str">
        <f>'Unit Costs'!C16</f>
        <v>CY</v>
      </c>
      <c r="E17" s="47">
        <v>20000</v>
      </c>
      <c r="F17" s="9">
        <f>'Unit Costs'!F16</f>
        <v>21.3</v>
      </c>
      <c r="G17" s="9">
        <f t="shared" ref="G17" si="2">ROUNDUP((E17*F17),-3)</f>
        <v>426000</v>
      </c>
      <c r="H17" s="84"/>
      <c r="I17" s="69">
        <v>20000</v>
      </c>
    </row>
    <row r="18" spans="2:19" ht="15">
      <c r="B18" s="12" t="str">
        <f>'Unit Costs'!G17</f>
        <v>120-6</v>
      </c>
      <c r="C18" s="6" t="str">
        <f>'Unit Costs'!B17</f>
        <v>Embankment</v>
      </c>
      <c r="D18" s="8" t="str">
        <f>'Unit Costs'!C17</f>
        <v>CY</v>
      </c>
      <c r="E18" s="47">
        <v>215000</v>
      </c>
      <c r="F18" s="9">
        <f>'Unit Costs'!F17</f>
        <v>8.9600000000000009</v>
      </c>
      <c r="G18" s="9">
        <f t="shared" si="1"/>
        <v>1927000</v>
      </c>
      <c r="H18" s="84"/>
      <c r="I18" s="69">
        <f>((220593+645066+6104+995)*4*1/27)+((29128+13798+47326+70984+86419)*(2+1)*2/27)+((386+13788+13287+287+21938+10940+49566+78310+2630+1510+515+932+1631+1641+3423+24844+33225+5074)*2*1/27)*1.4</f>
        <v>211702.13333333333</v>
      </c>
      <c r="K18" s="95"/>
    </row>
    <row r="19" spans="2:19" ht="15">
      <c r="B19" s="12" t="str">
        <f>'Unit Costs'!G18</f>
        <v>160-4</v>
      </c>
      <c r="C19" s="6" t="str">
        <f>'Unit Costs'!B18</f>
        <v>Type B Stabilization</v>
      </c>
      <c r="D19" s="8" t="str">
        <f>'Unit Costs'!C18</f>
        <v>SY</v>
      </c>
      <c r="E19" s="47">
        <v>284600</v>
      </c>
      <c r="F19" s="9">
        <f>'Unit Costs'!F18</f>
        <v>6.28</v>
      </c>
      <c r="G19" s="9">
        <f t="shared" si="1"/>
        <v>1788000</v>
      </c>
      <c r="H19" s="90">
        <f>1053491+408949+(343000-259000)*8</f>
        <v>2134440</v>
      </c>
      <c r="I19" s="59">
        <f>(H19/9)*1.2</f>
        <v>284592</v>
      </c>
      <c r="M19" s="96"/>
    </row>
    <row r="20" spans="2:19" ht="15">
      <c r="B20" s="12" t="str">
        <f>'Unit Costs'!G19</f>
        <v>285-709</v>
      </c>
      <c r="C20" s="6" t="str">
        <f>'Unit Costs'!B19</f>
        <v>Optional Base, Base Group 09</v>
      </c>
      <c r="D20" s="8" t="str">
        <f>'Unit Costs'!C19</f>
        <v>SY</v>
      </c>
      <c r="E20" s="47">
        <v>226000</v>
      </c>
      <c r="F20" s="9">
        <f>'Unit Costs'!F19</f>
        <v>24.08</v>
      </c>
      <c r="G20" s="9">
        <f t="shared" si="1"/>
        <v>5443000</v>
      </c>
      <c r="H20" s="90">
        <f>254336+768316+(343000-259000)*8</f>
        <v>1694652</v>
      </c>
      <c r="I20" s="59">
        <f>(H20/9)*1.2</f>
        <v>225953.59999999998</v>
      </c>
      <c r="M20" s="96"/>
    </row>
    <row r="21" spans="2:19" ht="15">
      <c r="B21" s="12" t="str">
        <f>'Unit Costs'!G20</f>
        <v>327-70-6</v>
      </c>
      <c r="C21" s="6" t="str">
        <f>'Unit Costs'!B20</f>
        <v>Milling Existing Asphalt Pavement, 1.5" Avg Depth</v>
      </c>
      <c r="D21" s="8" t="str">
        <f>'Unit Costs'!C20</f>
        <v>SY</v>
      </c>
      <c r="E21" s="47">
        <v>75000</v>
      </c>
      <c r="F21" s="9">
        <f>'Unit Costs'!F20</f>
        <v>2.61</v>
      </c>
      <c r="G21" s="9">
        <f t="shared" si="1"/>
        <v>196000</v>
      </c>
      <c r="H21" s="84"/>
      <c r="I21" s="69">
        <f>(5459+67762+5481+477640)/9*1.2</f>
        <v>74178.933333333334</v>
      </c>
    </row>
    <row r="22" spans="2:19" ht="15">
      <c r="B22" s="12" t="str">
        <f>'Unit Costs'!G21</f>
        <v>334-1-13</v>
      </c>
      <c r="C22" s="6" t="str">
        <f>'Unit Costs'!B21</f>
        <v>Superpave Asphaltic Concrete, Traffic C</v>
      </c>
      <c r="D22" s="8" t="str">
        <f>'Unit Costs'!C21</f>
        <v>TN</v>
      </c>
      <c r="E22" s="47">
        <v>16300</v>
      </c>
      <c r="F22" s="9">
        <f>'Unit Costs'!F21</f>
        <v>140.13</v>
      </c>
      <c r="G22" s="9">
        <f t="shared" si="1"/>
        <v>2285000</v>
      </c>
      <c r="H22" s="90">
        <f>220594+698807-116740+(343000-259000)*8</f>
        <v>1474661</v>
      </c>
      <c r="I22" s="59">
        <f>((165/2000)*(H22/9))*1.2</f>
        <v>16221.271000000001</v>
      </c>
      <c r="K22" s="95"/>
      <c r="M22" s="96"/>
    </row>
    <row r="23" spans="2:19" ht="15">
      <c r="B23" s="12" t="str">
        <f>'Unit Costs'!G22</f>
        <v>337-7-83</v>
      </c>
      <c r="C23" s="6" t="str">
        <f>'Unit Costs'!B22</f>
        <v>Superpave Asphaltic Concrete Friction Course, Traffic C, FC-12.5, PG 76-22</v>
      </c>
      <c r="D23" s="8" t="str">
        <f>'Unit Costs'!C22</f>
        <v>TN</v>
      </c>
      <c r="E23" s="47">
        <v>16300</v>
      </c>
      <c r="F23" s="9">
        <f>'Unit Costs'!F22</f>
        <v>158.59</v>
      </c>
      <c r="G23" s="9">
        <f t="shared" si="1"/>
        <v>2586000</v>
      </c>
      <c r="H23" s="84"/>
      <c r="I23" s="59">
        <f>((165/2000)*(H22/9)*1.2)</f>
        <v>16221.271000000001</v>
      </c>
      <c r="M23" s="96"/>
    </row>
    <row r="24" spans="2:19" ht="15">
      <c r="B24" s="12" t="str">
        <f>'Unit Costs'!G23</f>
        <v>400-0-11</v>
      </c>
      <c r="C24" s="6" t="str">
        <f>'Unit Costs'!B23</f>
        <v>Concrete Class NS, Gravity Wall Index 400-011</v>
      </c>
      <c r="D24" s="8" t="str">
        <f>'Unit Costs'!C23</f>
        <v>CY</v>
      </c>
      <c r="E24" s="47">
        <v>4550</v>
      </c>
      <c r="F24" s="9">
        <f>'Unit Costs'!F23</f>
        <v>922.9</v>
      </c>
      <c r="G24" s="9">
        <f t="shared" si="1"/>
        <v>4200000</v>
      </c>
      <c r="H24" s="90">
        <f>5890+817+170+57</f>
        <v>6934</v>
      </c>
      <c r="I24" s="59">
        <f>(H24*0.65)</f>
        <v>4507.1000000000004</v>
      </c>
      <c r="M24" s="96"/>
    </row>
    <row r="25" spans="2:19" ht="15">
      <c r="B25" s="12" t="str">
        <f>'Unit Costs'!G24</f>
        <v>400-2-10</v>
      </c>
      <c r="C25" s="6" t="str">
        <f>'Unit Costs'!B24</f>
        <v>Concrete Class II, Approach Slabs</v>
      </c>
      <c r="D25" s="8" t="str">
        <f>'Unit Costs'!C24</f>
        <v>CY</v>
      </c>
      <c r="E25" s="47">
        <v>125</v>
      </c>
      <c r="F25" s="9">
        <f>'Unit Costs'!F24</f>
        <v>998.6</v>
      </c>
      <c r="G25" s="9">
        <f t="shared" ref="G25:G26" si="3">ROUNDUP((E25*F25),-3)</f>
        <v>125000</v>
      </c>
      <c r="H25" s="84"/>
      <c r="I25" s="69">
        <v>119.27</v>
      </c>
    </row>
    <row r="26" spans="2:19" ht="15">
      <c r="B26" s="12" t="str">
        <f>'Unit Costs'!G25</f>
        <v>400-4-1</v>
      </c>
      <c r="C26" s="6" t="str">
        <f>'Unit Costs'!B25</f>
        <v>Concrete Class IV, Culverts</v>
      </c>
      <c r="D26" s="8" t="str">
        <f>'Unit Costs'!C25</f>
        <v>CY</v>
      </c>
      <c r="E26" s="47">
        <v>65</v>
      </c>
      <c r="F26" s="9">
        <f>'Unit Costs'!F25</f>
        <v>1873.55</v>
      </c>
      <c r="G26" s="9">
        <f t="shared" si="3"/>
        <v>122000</v>
      </c>
      <c r="H26" s="84"/>
      <c r="I26" s="69">
        <v>61</v>
      </c>
    </row>
    <row r="27" spans="2:19" ht="15">
      <c r="B27" s="12" t="str">
        <f>'Unit Costs'!G26</f>
        <v>415-1-1</v>
      </c>
      <c r="C27" s="6" t="str">
        <f>'Unit Costs'!B26</f>
        <v>Reinf Steel - Roadway</v>
      </c>
      <c r="D27" s="8" t="str">
        <f>'Unit Costs'!C26</f>
        <v>LB</v>
      </c>
      <c r="E27" s="47">
        <v>7000</v>
      </c>
      <c r="F27" s="9">
        <f>'Unit Costs'!F26</f>
        <v>1.39</v>
      </c>
      <c r="G27" s="9">
        <f t="shared" ref="G27:G28" si="4">ROUNDUP((E27*F27),-3)</f>
        <v>10000</v>
      </c>
      <c r="H27" s="84"/>
      <c r="I27" s="5">
        <v>6975.93</v>
      </c>
    </row>
    <row r="28" spans="2:19" ht="15">
      <c r="B28" s="12" t="str">
        <f>'Unit Costs'!G27</f>
        <v>415-1-9</v>
      </c>
      <c r="C28" s="6" t="str">
        <f>'Unit Costs'!B27</f>
        <v>Reinf Steel - Approach Slabs</v>
      </c>
      <c r="D28" s="8" t="str">
        <f>'Unit Costs'!C27</f>
        <v>LB</v>
      </c>
      <c r="E28" s="47">
        <v>21000</v>
      </c>
      <c r="F28" s="9">
        <f>'Unit Costs'!F27</f>
        <v>1.45</v>
      </c>
      <c r="G28" s="9">
        <f t="shared" si="4"/>
        <v>31000</v>
      </c>
      <c r="H28" s="84"/>
      <c r="I28" s="5">
        <v>20872.25</v>
      </c>
    </row>
    <row r="29" spans="2:19" ht="15">
      <c r="B29" s="12" t="str">
        <f>'Unit Costs'!G28</f>
        <v>425-1-361</v>
      </c>
      <c r="C29" s="6" t="str">
        <f>'Unit Costs'!B28</f>
        <v>Inlets, Curb, Type P-6, &lt;10'</v>
      </c>
      <c r="D29" s="8" t="str">
        <f>'Unit Costs'!C28</f>
        <v>EA</v>
      </c>
      <c r="E29" s="47">
        <v>250</v>
      </c>
      <c r="F29" s="9">
        <f>'Unit Costs'!F28</f>
        <v>9933.6200000000008</v>
      </c>
      <c r="G29" s="9">
        <f t="shared" si="1"/>
        <v>2484000</v>
      </c>
      <c r="H29" s="84"/>
      <c r="I29" s="5">
        <v>242</v>
      </c>
    </row>
    <row r="30" spans="2:19" ht="15">
      <c r="B30" s="12" t="str">
        <f>'Unit Costs'!G29</f>
        <v>425-1-541</v>
      </c>
      <c r="C30" s="6" t="str">
        <f>'Unit Costs'!B29</f>
        <v>Inlets, Ditch Bottom, Type D, &lt;10'</v>
      </c>
      <c r="D30" s="8" t="str">
        <f>'Unit Costs'!C29</f>
        <v>EA</v>
      </c>
      <c r="E30" s="47">
        <v>6</v>
      </c>
      <c r="F30" s="9">
        <f>'Unit Costs'!F29</f>
        <v>7367.27</v>
      </c>
      <c r="G30" s="9">
        <f t="shared" si="1"/>
        <v>45000</v>
      </c>
      <c r="H30" s="84"/>
      <c r="I30" s="70">
        <v>6</v>
      </c>
    </row>
    <row r="31" spans="2:19" ht="15">
      <c r="B31" s="12" t="str">
        <f>'Unit Costs'!G31</f>
        <v>430-175-124</v>
      </c>
      <c r="C31" s="6" t="str">
        <f>'Unit Costs'!B31</f>
        <v>Pipe Culvert, Opt Matl, Round, 24" S/CD</v>
      </c>
      <c r="D31" s="8" t="str">
        <f>'Unit Costs'!C31</f>
        <v>LF</v>
      </c>
      <c r="E31" s="47">
        <v>21400</v>
      </c>
      <c r="F31" s="9">
        <f>'Unit Costs'!F31</f>
        <v>122.61</v>
      </c>
      <c r="G31" s="9">
        <f t="shared" si="1"/>
        <v>2624000</v>
      </c>
      <c r="H31" s="60">
        <v>10680</v>
      </c>
      <c r="I31" s="60">
        <f>H31*2</f>
        <v>21360</v>
      </c>
      <c r="K31" s="95"/>
    </row>
    <row r="32" spans="2:19" ht="15.75">
      <c r="B32" s="12" t="str">
        <f>'Unit Costs'!G32</f>
        <v>430-175-130</v>
      </c>
      <c r="C32" s="6" t="str">
        <f>'Unit Costs'!B32</f>
        <v>Pipe Culvert, Opt Matl, Round, 30" S/CD</v>
      </c>
      <c r="D32" s="8" t="str">
        <f>'Unit Costs'!C32</f>
        <v>LF</v>
      </c>
      <c r="E32" s="47">
        <v>4600</v>
      </c>
      <c r="F32" s="9">
        <f>'Unit Costs'!F32</f>
        <v>167.86</v>
      </c>
      <c r="G32" s="9">
        <f t="shared" si="1"/>
        <v>773000</v>
      </c>
      <c r="H32" s="59">
        <v>2300</v>
      </c>
      <c r="I32" s="60">
        <f t="shared" ref="I32:I35" si="5">H32*2</f>
        <v>4600</v>
      </c>
      <c r="K32" s="95"/>
      <c r="S32" s="31"/>
    </row>
    <row r="33" spans="2:49" ht="15.75">
      <c r="B33" s="12" t="str">
        <f>'Unit Costs'!G33</f>
        <v>430-175-136</v>
      </c>
      <c r="C33" s="6" t="str">
        <f>'Unit Costs'!B33</f>
        <v>Pipe Culvert, Opt Matl, Round, 36" S/CD</v>
      </c>
      <c r="D33" s="8" t="str">
        <f>'Unit Costs'!C33</f>
        <v>LF</v>
      </c>
      <c r="E33" s="47">
        <v>2200</v>
      </c>
      <c r="F33" s="9">
        <f>'Unit Costs'!F33</f>
        <v>202.26</v>
      </c>
      <c r="G33" s="9">
        <f t="shared" ref="G33:G35" si="6">ROUNDUP((E33*F33),-3)</f>
        <v>445000</v>
      </c>
      <c r="H33" s="60">
        <v>1100</v>
      </c>
      <c r="I33" s="60">
        <f t="shared" si="5"/>
        <v>2200</v>
      </c>
      <c r="K33" s="95"/>
      <c r="S33" s="31"/>
    </row>
    <row r="34" spans="2:49" ht="15.75">
      <c r="B34" s="12" t="str">
        <f>'Unit Costs'!G34</f>
        <v>430-175-142</v>
      </c>
      <c r="C34" s="6" t="str">
        <f>'Unit Costs'!B34</f>
        <v>Pipe Culvert, Opt Matl, Round, 42" S/CD</v>
      </c>
      <c r="D34" s="8" t="str">
        <f>'Unit Costs'!C34</f>
        <v>LF</v>
      </c>
      <c r="E34" s="47">
        <v>2000</v>
      </c>
      <c r="F34" s="9">
        <f>'Unit Costs'!F34</f>
        <v>217.93</v>
      </c>
      <c r="G34" s="9">
        <f t="shared" si="6"/>
        <v>436000</v>
      </c>
      <c r="H34" s="60">
        <v>1000</v>
      </c>
      <c r="I34" s="60">
        <f t="shared" si="5"/>
        <v>2000</v>
      </c>
      <c r="K34" s="95"/>
      <c r="S34" s="31"/>
    </row>
    <row r="35" spans="2:49" ht="15.75">
      <c r="B35" s="12" t="str">
        <f>'Unit Costs'!G35</f>
        <v>430-175-160</v>
      </c>
      <c r="C35" s="6" t="str">
        <f>'Unit Costs'!B35</f>
        <v>Pipe Culvert, Opt Matl, Round, 60" S/CD</v>
      </c>
      <c r="D35" s="8" t="str">
        <f>'Unit Costs'!C35</f>
        <v>LF</v>
      </c>
      <c r="E35" s="47">
        <v>200</v>
      </c>
      <c r="F35" s="9">
        <f>'Unit Costs'!F35</f>
        <v>489.33</v>
      </c>
      <c r="G35" s="9">
        <f t="shared" si="6"/>
        <v>98000</v>
      </c>
      <c r="H35" s="60">
        <v>100</v>
      </c>
      <c r="I35" s="60">
        <f t="shared" si="5"/>
        <v>200</v>
      </c>
      <c r="K35" s="95"/>
      <c r="S35" s="31"/>
    </row>
    <row r="36" spans="2:49" ht="15.75">
      <c r="B36" s="12" t="str">
        <f>'Unit Costs'!G36</f>
        <v>430-984-129</v>
      </c>
      <c r="C36" s="6" t="str">
        <f>'Unit Costs'!B36</f>
        <v>Mitered End Section, F&amp;I, 24" SD</v>
      </c>
      <c r="D36" s="8" t="str">
        <f>'Unit Costs'!C36</f>
        <v>EA</v>
      </c>
      <c r="E36" s="47">
        <v>45</v>
      </c>
      <c r="F36" s="9">
        <f>'Unit Costs'!F36</f>
        <v>3439.63</v>
      </c>
      <c r="G36" s="9">
        <f t="shared" si="1"/>
        <v>155000</v>
      </c>
      <c r="H36" s="90">
        <v>30</v>
      </c>
      <c r="I36" s="60">
        <f>H36*1.5</f>
        <v>45</v>
      </c>
      <c r="K36" s="95"/>
      <c r="Q36" s="96"/>
      <c r="AE36" s="31"/>
    </row>
    <row r="37" spans="2:49" ht="15.75">
      <c r="B37" s="12" t="str">
        <f>'Unit Costs'!G37</f>
        <v>515-2-111</v>
      </c>
      <c r="C37" s="6" t="str">
        <f>'Unit Costs'!B37</f>
        <v>Ped/Bicycle Railing, NS, 42" Type 1</v>
      </c>
      <c r="D37" s="8" t="str">
        <f>'Unit Costs'!C37</f>
        <v>LF</v>
      </c>
      <c r="E37" s="47">
        <v>12000</v>
      </c>
      <c r="F37" s="9">
        <f>'Unit Costs'!F37</f>
        <v>82.46</v>
      </c>
      <c r="G37" s="9">
        <f t="shared" ref="G37" si="7">ROUNDUP((E37*F37),-3)</f>
        <v>990000</v>
      </c>
      <c r="H37" s="59">
        <f>10920+817+170+57</f>
        <v>11964</v>
      </c>
      <c r="I37" s="59">
        <f>10920+817+170+57</f>
        <v>11964</v>
      </c>
      <c r="K37" s="95"/>
      <c r="AE37" s="31"/>
    </row>
    <row r="38" spans="2:49" ht="15">
      <c r="B38" s="12" t="str">
        <f>'Unit Costs'!G38</f>
        <v>520-1-7</v>
      </c>
      <c r="C38" s="6" t="str">
        <f>'Unit Costs'!B38</f>
        <v>Concrete Curb &amp; Gutter, Type E</v>
      </c>
      <c r="D38" s="8" t="str">
        <f>'Unit Costs'!C38</f>
        <v>LF</v>
      </c>
      <c r="E38" s="47">
        <v>29000</v>
      </c>
      <c r="F38" s="9">
        <f>'Unit Costs'!F38</f>
        <v>36.9</v>
      </c>
      <c r="G38" s="9">
        <f t="shared" si="1"/>
        <v>1071000</v>
      </c>
      <c r="H38" s="90">
        <f>4404+1307+1242+2075+13509+81+81+3506</f>
        <v>26205</v>
      </c>
      <c r="I38" s="60">
        <f>H38*1.1</f>
        <v>28825.500000000004</v>
      </c>
    </row>
    <row r="39" spans="2:49" ht="15.75">
      <c r="B39" s="12" t="str">
        <f>'Unit Costs'!G39</f>
        <v>520-1-10</v>
      </c>
      <c r="C39" s="6" t="str">
        <f>'Unit Costs'!B39</f>
        <v>Concrete Curb &amp; Gutter, Type F</v>
      </c>
      <c r="D39" s="8" t="str">
        <f>'Unit Costs'!C39</f>
        <v>LF</v>
      </c>
      <c r="E39" s="47">
        <v>33500</v>
      </c>
      <c r="F39" s="9">
        <f>'Unit Costs'!F39</f>
        <v>40.29</v>
      </c>
      <c r="G39" s="9">
        <f t="shared" si="1"/>
        <v>1350000</v>
      </c>
      <c r="H39" s="90">
        <f>570+1711+541+558+593+2697+1037+7477+9418+194+322+326+613+1784+309+191+88+1801</f>
        <v>30230</v>
      </c>
      <c r="I39" s="60">
        <f>H39*1.1</f>
        <v>33253</v>
      </c>
      <c r="AA39" s="31"/>
    </row>
    <row r="40" spans="2:49" ht="15" hidden="1">
      <c r="B40" s="12" t="str">
        <f>'Unit Costs'!G40</f>
        <v>520-2-4</v>
      </c>
      <c r="C40" s="6" t="str">
        <f>'Unit Costs'!B40</f>
        <v>Concrete Curb, Type D</v>
      </c>
      <c r="D40" s="8" t="str">
        <f>'Unit Costs'!C40</f>
        <v>LF</v>
      </c>
      <c r="E40" s="47">
        <v>0</v>
      </c>
      <c r="F40" s="9">
        <f>'Unit Costs'!F40</f>
        <v>43.14</v>
      </c>
      <c r="G40" s="9">
        <f t="shared" si="1"/>
        <v>0</v>
      </c>
      <c r="H40" s="84"/>
      <c r="I40" s="60">
        <v>0</v>
      </c>
    </row>
    <row r="41" spans="2:49" ht="15" hidden="1">
      <c r="B41" s="12" t="str">
        <f>'Unit Costs'!G41</f>
        <v>520-2-8</v>
      </c>
      <c r="C41" s="6" t="str">
        <f>'Unit Costs'!B41</f>
        <v>Concrete Curb, Type RA</v>
      </c>
      <c r="D41" s="8" t="str">
        <f>'Unit Costs'!C41</f>
        <v>LF</v>
      </c>
      <c r="E41" s="47">
        <v>0</v>
      </c>
      <c r="F41" s="9">
        <f>'Unit Costs'!F41</f>
        <v>47.32</v>
      </c>
      <c r="G41" s="9">
        <f t="shared" si="1"/>
        <v>0</v>
      </c>
      <c r="H41" s="84"/>
      <c r="I41" s="60">
        <v>0</v>
      </c>
    </row>
    <row r="42" spans="2:49" ht="15" hidden="1">
      <c r="B42" s="12" t="str">
        <f>'Unit Costs'!G42</f>
        <v>520-5-11</v>
      </c>
      <c r="C42" s="6" t="str">
        <f>'Unit Costs'!B42</f>
        <v>Traffic Separator, 4' Wide</v>
      </c>
      <c r="D42" s="8" t="str">
        <f>'Unit Costs'!C42</f>
        <v>LF</v>
      </c>
      <c r="E42" s="47">
        <v>0</v>
      </c>
      <c r="F42" s="9">
        <f>'Unit Costs'!F42</f>
        <v>74.52</v>
      </c>
      <c r="G42" s="9">
        <f t="shared" si="1"/>
        <v>0</v>
      </c>
      <c r="H42" s="84"/>
      <c r="I42" s="5">
        <v>0</v>
      </c>
    </row>
    <row r="43" spans="2:49" ht="15.75" hidden="1">
      <c r="B43" s="12" t="str">
        <f>'Unit Costs'!G43</f>
        <v>520-5-12</v>
      </c>
      <c r="C43" s="6" t="str">
        <f>'Unit Costs'!B43</f>
        <v>Traffic Separator, 6' Wide</v>
      </c>
      <c r="D43" s="8" t="str">
        <f>'Unit Costs'!C43</f>
        <v>LF</v>
      </c>
      <c r="E43" s="47">
        <v>0</v>
      </c>
      <c r="F43" s="9">
        <f>'Unit Costs'!F43</f>
        <v>128.84</v>
      </c>
      <c r="G43" s="9">
        <f t="shared" si="1"/>
        <v>0</v>
      </c>
      <c r="H43" s="84"/>
      <c r="I43" s="5">
        <v>0</v>
      </c>
      <c r="AW43" s="31" t="s">
        <v>55</v>
      </c>
    </row>
    <row r="44" spans="2:49" ht="15.75" hidden="1">
      <c r="B44" s="12" t="str">
        <f>'Unit Costs'!G44</f>
        <v>520-70</v>
      </c>
      <c r="C44" s="6" t="str">
        <f>'Unit Costs'!B44</f>
        <v>Concrete Traffic Separator, Special-Variable Width</v>
      </c>
      <c r="D44" s="8" t="str">
        <f>'Unit Costs'!C44</f>
        <v>SY</v>
      </c>
      <c r="E44" s="47">
        <v>0</v>
      </c>
      <c r="F44" s="9">
        <f>'Unit Costs'!F44</f>
        <v>151.31</v>
      </c>
      <c r="G44" s="9">
        <f t="shared" si="1"/>
        <v>0</v>
      </c>
      <c r="H44" s="84"/>
      <c r="I44" s="69">
        <v>0</v>
      </c>
      <c r="K44"/>
    </row>
    <row r="45" spans="2:49" ht="15.75">
      <c r="B45" s="12" t="str">
        <f>'Unit Costs'!G45</f>
        <v>521-72-40</v>
      </c>
      <c r="C45" s="6" t="str">
        <f>'Unit Costs'!B45</f>
        <v>Shldr Conc Barrier, 38" or 44" Height</v>
      </c>
      <c r="D45" s="8" t="str">
        <f>'Unit Costs'!C45</f>
        <v>LF</v>
      </c>
      <c r="E45" s="47">
        <v>2550</v>
      </c>
      <c r="F45" s="9">
        <f>'Unit Costs'!F45</f>
        <v>400.04</v>
      </c>
      <c r="G45" s="9">
        <f t="shared" ref="G45" si="8">ROUNDUP((E45*F45),-3)</f>
        <v>1021000</v>
      </c>
      <c r="H45" s="84"/>
      <c r="I45" s="69">
        <v>2503</v>
      </c>
      <c r="K45"/>
    </row>
    <row r="46" spans="2:49" ht="15">
      <c r="B46" s="12" t="str">
        <f>'Unit Costs'!G46</f>
        <v>522-1</v>
      </c>
      <c r="C46" s="6" t="str">
        <f>'Unit Costs'!B46</f>
        <v>Concrete Sidewalk and Driveways, 4"</v>
      </c>
      <c r="D46" s="8" t="str">
        <f>'Unit Costs'!C46</f>
        <v>SY</v>
      </c>
      <c r="E46" s="47">
        <v>32500</v>
      </c>
      <c r="F46" s="9">
        <f>'Unit Costs'!F46</f>
        <v>69.61</v>
      </c>
      <c r="G46" s="9">
        <f t="shared" si="1"/>
        <v>2263000</v>
      </c>
      <c r="H46" s="84"/>
      <c r="I46" s="69">
        <f>((386+13788+13287+287+21938+10940+49566+78310+2630+1510+515+932+1631+1641+3423+24844+33225+5074)/9)*1.1</f>
        <v>32257.744444444448</v>
      </c>
      <c r="K46" s="61"/>
    </row>
    <row r="47" spans="2:49" ht="15">
      <c r="B47" s="12" t="str">
        <f>'Unit Costs'!G47</f>
        <v>522-2</v>
      </c>
      <c r="C47" s="6" t="str">
        <f>'Unit Costs'!B47</f>
        <v>Concrete Sidewalk and Driveways, 6"</v>
      </c>
      <c r="D47" s="8" t="str">
        <f>'Unit Costs'!C47</f>
        <v>SY</v>
      </c>
      <c r="E47" s="47">
        <v>16500</v>
      </c>
      <c r="F47" s="9">
        <f>'Unit Costs'!F47</f>
        <v>93.28</v>
      </c>
      <c r="G47" s="9">
        <f t="shared" ref="G47" si="9">ROUNDUP((E47*F47),-3)</f>
        <v>1540000</v>
      </c>
      <c r="H47" s="84"/>
      <c r="I47" s="69">
        <f>I46/2</f>
        <v>16128.872222222224</v>
      </c>
      <c r="K47" s="61"/>
    </row>
    <row r="48" spans="2:49" ht="15.75" hidden="1">
      <c r="B48" s="12" t="str">
        <f>'Unit Costs'!G48</f>
        <v>527-2</v>
      </c>
      <c r="C48" s="6" t="str">
        <f>'Unit Costs'!B48</f>
        <v>Detectable Warnings</v>
      </c>
      <c r="D48" s="8" t="str">
        <f>'Unit Costs'!C48</f>
        <v>SF</v>
      </c>
      <c r="E48" s="47"/>
      <c r="F48" s="9">
        <f>'Unit Costs'!F48</f>
        <v>36.28</v>
      </c>
      <c r="G48" s="9">
        <f t="shared" si="1"/>
        <v>0</v>
      </c>
      <c r="H48" s="84"/>
      <c r="I48" s="59">
        <f>(20*11+24*11+28*12)</f>
        <v>820</v>
      </c>
      <c r="K48"/>
    </row>
    <row r="49" spans="2:11" ht="15.75">
      <c r="B49" s="12" t="str">
        <f>'Unit Costs'!G49</f>
        <v>536-1-0</v>
      </c>
      <c r="C49" s="6" t="str">
        <f>'Unit Costs'!B49</f>
        <v>Guardrail - Roadway, GEN/LS TL-2</v>
      </c>
      <c r="D49" s="8" t="str">
        <f>'Unit Costs'!C49</f>
        <v>LF</v>
      </c>
      <c r="E49" s="47">
        <v>1000</v>
      </c>
      <c r="F49" s="9">
        <f>'Unit Costs'!F49</f>
        <v>23</v>
      </c>
      <c r="G49" s="9">
        <f t="shared" ref="G49:G53" si="10">ROUNDUP((E49*F49),-3)</f>
        <v>23000</v>
      </c>
      <c r="H49" s="84"/>
      <c r="I49" s="70">
        <v>1000</v>
      </c>
      <c r="K49"/>
    </row>
    <row r="50" spans="2:11" ht="15.75">
      <c r="B50" s="12" t="str">
        <f>'Unit Costs'!G50</f>
        <v>536-73</v>
      </c>
      <c r="C50" s="6" t="str">
        <f>'Unit Costs'!B50</f>
        <v>Guardrail Removal</v>
      </c>
      <c r="D50" s="8" t="str">
        <f>'Unit Costs'!C50</f>
        <v>LF</v>
      </c>
      <c r="E50" s="47">
        <v>5500</v>
      </c>
      <c r="F50" s="9">
        <f>'Unit Costs'!F50</f>
        <v>1.33</v>
      </c>
      <c r="G50" s="9">
        <f t="shared" si="10"/>
        <v>8000</v>
      </c>
      <c r="H50" s="84"/>
      <c r="I50" s="70">
        <v>5425</v>
      </c>
      <c r="K50"/>
    </row>
    <row r="51" spans="2:11" ht="15.75">
      <c r="B51" s="12" t="str">
        <f>'Unit Costs'!G51</f>
        <v>536-85-20</v>
      </c>
      <c r="C51" s="6" t="str">
        <f>'Unit Costs'!B51</f>
        <v>Guardrail End Treat - Trailing Anchorage</v>
      </c>
      <c r="D51" s="8" t="str">
        <f>'Unit Costs'!C51</f>
        <v>EA</v>
      </c>
      <c r="E51" s="47">
        <v>5</v>
      </c>
      <c r="F51" s="9">
        <f>'Unit Costs'!F51</f>
        <v>1553.53</v>
      </c>
      <c r="G51" s="9">
        <f t="shared" si="10"/>
        <v>8000</v>
      </c>
      <c r="H51" s="84"/>
      <c r="I51" s="70">
        <v>4</v>
      </c>
      <c r="K51"/>
    </row>
    <row r="52" spans="2:11" ht="15.75">
      <c r="B52" s="12" t="str">
        <f>'Unit Costs'!G52</f>
        <v>536-85-24</v>
      </c>
      <c r="C52" s="6" t="str">
        <f>'Unit Costs'!B52</f>
        <v>Guardrail End Treat - Para App Term</v>
      </c>
      <c r="D52" s="8" t="str">
        <f>'Unit Costs'!C52</f>
        <v>EA</v>
      </c>
      <c r="E52" s="47">
        <v>5</v>
      </c>
      <c r="F52" s="9">
        <f>'Unit Costs'!F52</f>
        <v>3190.67</v>
      </c>
      <c r="G52" s="9">
        <f t="shared" si="10"/>
        <v>16000</v>
      </c>
      <c r="H52" s="84"/>
      <c r="I52" s="70">
        <v>4</v>
      </c>
      <c r="K52"/>
    </row>
    <row r="53" spans="2:11" ht="15.75">
      <c r="B53" s="12" t="str">
        <f>'Unit Costs'!G53</f>
        <v>550-10-220</v>
      </c>
      <c r="C53" s="6" t="str">
        <f>'Unit Costs'!B53</f>
        <v>Fencing, Type B, 5.1-6.0', Standard</v>
      </c>
      <c r="D53" s="8" t="str">
        <f>'Unit Costs'!C53</f>
        <v>LF</v>
      </c>
      <c r="E53" s="47">
        <v>14000</v>
      </c>
      <c r="F53" s="9">
        <f>'Unit Costs'!F53</f>
        <v>21.54</v>
      </c>
      <c r="G53" s="9">
        <f t="shared" si="10"/>
        <v>302000</v>
      </c>
      <c r="H53" s="84"/>
      <c r="I53" s="5">
        <f>11455*1.2</f>
        <v>13746</v>
      </c>
      <c r="K53"/>
    </row>
    <row r="54" spans="2:11" ht="15.75">
      <c r="B54" s="12" t="str">
        <f>'Unit Costs'!G54</f>
        <v>550-60-234</v>
      </c>
      <c r="C54" s="6" t="str">
        <f>'Unit Costs'!B54</f>
        <v>Fence Gate, Typ B, Slide/Cant, 18.1-20' Open</v>
      </c>
      <c r="D54" s="8" t="str">
        <f>'Unit Costs'!C54</f>
        <v>EA</v>
      </c>
      <c r="E54" s="47">
        <v>12</v>
      </c>
      <c r="F54" s="9">
        <f>'Unit Costs'!F54</f>
        <v>5000</v>
      </c>
      <c r="G54" s="9">
        <f t="shared" ref="G54" si="11">ROUNDUP((E54*F54),-3)</f>
        <v>60000</v>
      </c>
      <c r="H54" s="84"/>
      <c r="I54" s="5">
        <v>12</v>
      </c>
      <c r="K54"/>
    </row>
    <row r="55" spans="2:11" ht="15">
      <c r="B55" s="12" t="str">
        <f>'Unit Costs'!G55</f>
        <v>570-1-1</v>
      </c>
      <c r="C55" s="6" t="str">
        <f>'Unit Costs'!B55</f>
        <v>Performance Turf</v>
      </c>
      <c r="D55" s="8" t="str">
        <f>'Unit Costs'!C55</f>
        <v>SY</v>
      </c>
      <c r="E55" s="47">
        <v>65000</v>
      </c>
      <c r="F55" s="9">
        <f>'Unit Costs'!F55</f>
        <v>2.11</v>
      </c>
      <c r="G55" s="9">
        <f t="shared" si="1"/>
        <v>138000</v>
      </c>
      <c r="H55" s="84"/>
      <c r="I55" s="69">
        <f>((29128+13798+47326+70984+86419+79346+34164+4667+5745+3644+11208+12131+5108+4934+13936+14703+2039)+((2+2)*(15037+13073+1137+2200+1651)))/9</f>
        <v>63519.111111111109</v>
      </c>
    </row>
    <row r="56" spans="2:11" ht="15">
      <c r="B56" s="12" t="str">
        <f>'Unit Costs'!G56</f>
        <v>630-2-11</v>
      </c>
      <c r="C56" s="6" t="str">
        <f>'Unit Costs'!B56</f>
        <v>Conduit, F&amp;I, Open Trench</v>
      </c>
      <c r="D56" s="8" t="str">
        <f>'Unit Costs'!C56</f>
        <v>LF</v>
      </c>
      <c r="E56" s="47">
        <v>31500</v>
      </c>
      <c r="F56" s="9">
        <f>'Unit Costs'!F56</f>
        <v>16.079999999999998</v>
      </c>
      <c r="G56" s="9">
        <f t="shared" si="1"/>
        <v>507000</v>
      </c>
      <c r="H56" s="84"/>
      <c r="I56" s="5">
        <v>31044</v>
      </c>
    </row>
    <row r="57" spans="2:11" ht="15">
      <c r="B57" s="12" t="str">
        <f>'Unit Costs'!G57</f>
        <v>630-2-12</v>
      </c>
      <c r="C57" s="6" t="str">
        <f>'Unit Costs'!B57</f>
        <v>Conduit, F&amp;I, Directional Bore</v>
      </c>
      <c r="D57" s="8" t="str">
        <f>'Unit Costs'!C57</f>
        <v>LF</v>
      </c>
      <c r="E57" s="47">
        <v>11000</v>
      </c>
      <c r="F57" s="9">
        <f>'Unit Costs'!F57</f>
        <v>38.26</v>
      </c>
      <c r="G57" s="9">
        <f t="shared" si="1"/>
        <v>421000</v>
      </c>
      <c r="H57" s="84"/>
      <c r="I57" s="5">
        <v>10816</v>
      </c>
    </row>
    <row r="58" spans="2:11" ht="15">
      <c r="B58" s="12" t="str">
        <f>'Unit Costs'!G58</f>
        <v>630-2-15</v>
      </c>
      <c r="C58" s="6" t="str">
        <f>'Unit Costs'!B58</f>
        <v>Conduit, F&amp;I, Bridge Mount</v>
      </c>
      <c r="D58" s="8" t="str">
        <f>'Unit Costs'!C58</f>
        <v>LF</v>
      </c>
      <c r="E58" s="47">
        <v>2400</v>
      </c>
      <c r="F58" s="9">
        <f>'Unit Costs'!F58</f>
        <v>65.58</v>
      </c>
      <c r="G58" s="9">
        <f t="shared" ref="G58" si="12">ROUNDUP((E58*F58),-3)</f>
        <v>158000</v>
      </c>
      <c r="H58" s="84"/>
      <c r="I58" s="5">
        <v>2389</v>
      </c>
    </row>
    <row r="59" spans="2:11" ht="15">
      <c r="B59" s="12" t="str">
        <f>'Unit Costs'!G59</f>
        <v>632-7-1</v>
      </c>
      <c r="C59" s="6" t="str">
        <f>'Unit Costs'!B59</f>
        <v>Signal Cable - New or Reconstructed Intersection, F&amp;I</v>
      </c>
      <c r="D59" s="8" t="str">
        <f>'Unit Costs'!C59</f>
        <v>PI</v>
      </c>
      <c r="E59" s="47">
        <v>3</v>
      </c>
      <c r="F59" s="9">
        <f>'Unit Costs'!F59</f>
        <v>11445.79</v>
      </c>
      <c r="G59" s="9">
        <f t="shared" si="1"/>
        <v>35000</v>
      </c>
      <c r="H59" s="84"/>
      <c r="I59" s="5">
        <v>3</v>
      </c>
    </row>
    <row r="60" spans="2:11" ht="15">
      <c r="B60" s="12" t="str">
        <f>'Unit Costs'!G60</f>
        <v>633-1-121</v>
      </c>
      <c r="C60" s="6" t="str">
        <f>'Unit Costs'!B60</f>
        <v>Fiber Optic Cable, F&amp;I, UG 2-12</v>
      </c>
      <c r="D60" s="8" t="str">
        <f>'Unit Costs'!C60</f>
        <v>LF</v>
      </c>
      <c r="E60" s="47">
        <v>7000</v>
      </c>
      <c r="F60" s="9">
        <f>'Unit Costs'!F60</f>
        <v>4.72</v>
      </c>
      <c r="G60" s="9">
        <f t="shared" ref="G60:G66" si="13">ROUNDUP((E60*F60),-3)</f>
        <v>34000</v>
      </c>
      <c r="H60" s="84"/>
      <c r="I60" s="5">
        <v>6900</v>
      </c>
    </row>
    <row r="61" spans="2:11" ht="15">
      <c r="B61" s="12" t="str">
        <f>'Unit Costs'!G61</f>
        <v>633-1-122</v>
      </c>
      <c r="C61" s="6" t="str">
        <f>'Unit Costs'!B61</f>
        <v>Fiber Optic Cable, F&amp;I, UG 13-48</v>
      </c>
      <c r="D61" s="8" t="str">
        <f>'Unit Costs'!C61</f>
        <v>LF</v>
      </c>
      <c r="E61" s="47">
        <v>10000</v>
      </c>
      <c r="F61" s="9">
        <f>'Unit Costs'!F61</f>
        <v>4.3899999999999997</v>
      </c>
      <c r="G61" s="9">
        <f t="shared" si="13"/>
        <v>44000</v>
      </c>
      <c r="H61" s="84"/>
      <c r="I61" s="5">
        <v>10000</v>
      </c>
    </row>
    <row r="62" spans="2:11" ht="15">
      <c r="B62" s="12" t="str">
        <f>'Unit Costs'!G62</f>
        <v>633-1-123</v>
      </c>
      <c r="C62" s="6" t="str">
        <f>'Unit Costs'!B62</f>
        <v>Fiber Optic Cable, F&amp;I, UG 49-96</v>
      </c>
      <c r="D62" s="8" t="str">
        <f>'Unit Costs'!C62</f>
        <v>LF</v>
      </c>
      <c r="E62" s="47">
        <v>2</v>
      </c>
      <c r="F62" s="9">
        <f>'Unit Costs'!F62</f>
        <v>5.81</v>
      </c>
      <c r="G62" s="9">
        <f t="shared" si="13"/>
        <v>1000</v>
      </c>
      <c r="H62" s="84"/>
      <c r="I62" s="5">
        <v>2</v>
      </c>
    </row>
    <row r="63" spans="2:11" ht="15">
      <c r="B63" s="12" t="str">
        <f>'Unit Costs'!G63</f>
        <v>633-1-124</v>
      </c>
      <c r="C63" s="6" t="str">
        <f>'Unit Costs'!B63</f>
        <v>Fiber Optic Cable, F&amp;I, UG 97-144</v>
      </c>
      <c r="D63" s="8" t="str">
        <f>'Unit Costs'!C63</f>
        <v>LF</v>
      </c>
      <c r="E63" s="47">
        <v>28000</v>
      </c>
      <c r="F63" s="9">
        <f>'Unit Costs'!F63</f>
        <v>5.61</v>
      </c>
      <c r="G63" s="9">
        <f t="shared" si="13"/>
        <v>158000</v>
      </c>
      <c r="H63" s="84"/>
      <c r="I63" s="5">
        <v>27050</v>
      </c>
    </row>
    <row r="64" spans="2:11" ht="15">
      <c r="B64" s="12" t="str">
        <f>'Unit Costs'!G64</f>
        <v>633-2-31</v>
      </c>
      <c r="C64" s="6" t="str">
        <f>'Unit Costs'!B64</f>
        <v>Fiber Optic Connection, Install, Splice</v>
      </c>
      <c r="D64" s="8" t="str">
        <f>'Unit Costs'!C64</f>
        <v>EA</v>
      </c>
      <c r="E64" s="47">
        <v>300</v>
      </c>
      <c r="F64" s="9">
        <f>'Unit Costs'!F64</f>
        <v>57.84</v>
      </c>
      <c r="G64" s="9">
        <f t="shared" si="13"/>
        <v>18000</v>
      </c>
      <c r="H64" s="84"/>
      <c r="I64" s="5">
        <v>300</v>
      </c>
    </row>
    <row r="65" spans="2:9" ht="15">
      <c r="B65" s="12" t="str">
        <f>'Unit Costs'!G65</f>
        <v>633-3-11</v>
      </c>
      <c r="C65" s="6" t="str">
        <f>'Unit Costs'!B65</f>
        <v>Fiber Optic Connection, Hdwr, Splice Enclosure</v>
      </c>
      <c r="D65" s="8" t="str">
        <f>'Unit Costs'!C65</f>
        <v>EA</v>
      </c>
      <c r="E65" s="47">
        <v>5</v>
      </c>
      <c r="F65" s="9">
        <f>'Unit Costs'!F65</f>
        <v>1672.36</v>
      </c>
      <c r="G65" s="9">
        <f t="shared" si="13"/>
        <v>9000</v>
      </c>
      <c r="H65" s="84"/>
      <c r="I65" s="5">
        <v>5</v>
      </c>
    </row>
    <row r="66" spans="2:9" ht="15">
      <c r="B66" s="12" t="str">
        <f>'Unit Costs'!G66</f>
        <v>633-3-15</v>
      </c>
      <c r="C66" s="6" t="str">
        <f>'Unit Costs'!B66</f>
        <v>Fiber Optic Connection, Hdwr, Preterm Patch Pan</v>
      </c>
      <c r="D66" s="8" t="str">
        <f>'Unit Costs'!C66</f>
        <v>EA</v>
      </c>
      <c r="E66" s="47">
        <v>4</v>
      </c>
      <c r="F66" s="9">
        <f>'Unit Costs'!F66</f>
        <v>2392.0700000000002</v>
      </c>
      <c r="G66" s="9">
        <f t="shared" si="13"/>
        <v>10000</v>
      </c>
      <c r="H66" s="84"/>
      <c r="I66" s="5">
        <v>4</v>
      </c>
    </row>
    <row r="67" spans="2:9" ht="15">
      <c r="B67" s="12" t="str">
        <f>'Unit Costs'!G67</f>
        <v>635-2-11</v>
      </c>
      <c r="C67" s="6" t="str">
        <f>'Unit Costs'!B67</f>
        <v>Pull &amp; Splice Box, F&amp;I, 13''x 24''</v>
      </c>
      <c r="D67" s="8" t="str">
        <f>'Unit Costs'!C67</f>
        <v>EA</v>
      </c>
      <c r="E67" s="47">
        <v>160</v>
      </c>
      <c r="F67" s="9">
        <f>'Unit Costs'!F67</f>
        <v>1496.85</v>
      </c>
      <c r="G67" s="9">
        <f t="shared" si="1"/>
        <v>240000</v>
      </c>
      <c r="H67" s="84"/>
      <c r="I67" s="5">
        <v>151</v>
      </c>
    </row>
    <row r="68" spans="2:9" ht="15">
      <c r="B68" s="12" t="str">
        <f>'Unit Costs'!G68</f>
        <v>635-2-12</v>
      </c>
      <c r="C68" s="6" t="str">
        <f>'Unit Costs'!B68</f>
        <v>Pull &amp; Splice Box, F&amp;I, 24''x 36''</v>
      </c>
      <c r="D68" s="8" t="str">
        <f>'Unit Costs'!C68</f>
        <v>EA</v>
      </c>
      <c r="E68" s="47">
        <v>25</v>
      </c>
      <c r="F68" s="9">
        <f>'Unit Costs'!F68</f>
        <v>2823.58</v>
      </c>
      <c r="G68" s="9">
        <f t="shared" si="1"/>
        <v>71000</v>
      </c>
      <c r="H68" s="84"/>
      <c r="I68" s="5">
        <v>23</v>
      </c>
    </row>
    <row r="69" spans="2:9" ht="15">
      <c r="B69" s="12" t="str">
        <f>'Unit Costs'!G69</f>
        <v>635-2-13</v>
      </c>
      <c r="C69" s="6" t="str">
        <f>'Unit Costs'!B69</f>
        <v>Pull &amp; Splice Box, F&amp;I, 30''x 60'' Or 36"</v>
      </c>
      <c r="D69" s="8" t="str">
        <f>'Unit Costs'!C69</f>
        <v>EA</v>
      </c>
      <c r="E69" s="47">
        <v>4</v>
      </c>
      <c r="F69" s="9">
        <f>'Unit Costs'!F69</f>
        <v>6224.58</v>
      </c>
      <c r="G69" s="9">
        <f t="shared" ref="G69" si="14">ROUNDUP((E69*F69),-3)</f>
        <v>25000</v>
      </c>
      <c r="H69" s="84"/>
      <c r="I69" s="5">
        <v>4</v>
      </c>
    </row>
    <row r="70" spans="2:9" ht="15">
      <c r="B70" s="12" t="str">
        <f>'Unit Costs'!G70</f>
        <v>635-3-12</v>
      </c>
      <c r="C70" s="6" t="str">
        <f>'Unit Costs'!B70</f>
        <v>Junction Box, F&amp;I, Mounted</v>
      </c>
      <c r="D70" s="8" t="str">
        <f>'Unit Costs'!C70</f>
        <v>EA</v>
      </c>
      <c r="E70" s="47">
        <v>1</v>
      </c>
      <c r="F70" s="9">
        <f>'Unit Costs'!F70</f>
        <v>854.7</v>
      </c>
      <c r="G70" s="9">
        <f t="shared" ref="G70" si="15">ROUNDUP((E70*F70),-3)</f>
        <v>1000</v>
      </c>
      <c r="H70" s="84"/>
      <c r="I70" s="5">
        <v>1</v>
      </c>
    </row>
    <row r="71" spans="2:9" ht="15" hidden="1">
      <c r="B71" s="12" t="str">
        <f>'Unit Costs'!G71</f>
        <v>639-1-112</v>
      </c>
      <c r="C71" s="6" t="str">
        <f>'Unit Costs'!B71</f>
        <v>Electrical Power Service, F&amp;I, Overhead Meter, Meter Purchased by Contractor from Power Company</v>
      </c>
      <c r="D71" s="8" t="str">
        <f>'Unit Costs'!C71</f>
        <v>AS</v>
      </c>
      <c r="E71" s="47">
        <v>0</v>
      </c>
      <c r="F71" s="9">
        <f>'Unit Costs'!F71</f>
        <v>6532.49</v>
      </c>
      <c r="G71" s="9">
        <f t="shared" ref="G71" si="16">ROUNDUP((E71*F71),-3)</f>
        <v>0</v>
      </c>
      <c r="H71" s="84"/>
      <c r="I71" s="5">
        <v>2</v>
      </c>
    </row>
    <row r="72" spans="2:9" ht="15">
      <c r="B72" s="12" t="str">
        <f>'Unit Costs'!G72</f>
        <v>639-1-121</v>
      </c>
      <c r="C72" s="6" t="str">
        <f>'Unit Costs'!B72</f>
        <v>Electrical Power Service, F&amp;I, Underground, Meter Furnished by Power Company</v>
      </c>
      <c r="D72" s="8" t="str">
        <f>'Unit Costs'!C72</f>
        <v>AS</v>
      </c>
      <c r="E72" s="47">
        <v>3</v>
      </c>
      <c r="F72" s="9">
        <f>'Unit Costs'!F72</f>
        <v>7453.81</v>
      </c>
      <c r="G72" s="9">
        <f t="shared" si="1"/>
        <v>23000</v>
      </c>
      <c r="H72" s="84"/>
      <c r="I72" s="5">
        <v>3</v>
      </c>
    </row>
    <row r="73" spans="2:9" ht="15">
      <c r="B73" s="12" t="str">
        <f>'Unit Costs'!G73</f>
        <v>639-2-1</v>
      </c>
      <c r="C73" s="6" t="str">
        <f>'Unit Costs'!B73</f>
        <v>Electrical Service Wire, F&amp;I</v>
      </c>
      <c r="D73" s="8" t="str">
        <f>'Unit Costs'!C73</f>
        <v>LF</v>
      </c>
      <c r="E73" s="47">
        <v>15500</v>
      </c>
      <c r="F73" s="9">
        <f>'Unit Costs'!F73</f>
        <v>11.77</v>
      </c>
      <c r="G73" s="9">
        <f t="shared" si="1"/>
        <v>183000</v>
      </c>
      <c r="H73" s="84"/>
      <c r="I73" s="76">
        <v>15220</v>
      </c>
    </row>
    <row r="74" spans="2:9" ht="15">
      <c r="B74" s="12" t="str">
        <f>'Unit Costs'!G74</f>
        <v>639-3-11</v>
      </c>
      <c r="C74" s="6" t="str">
        <f>'Unit Costs'!B74</f>
        <v>Electrical Service Disconnect, F&amp;I, Pole Mount</v>
      </c>
      <c r="D74" s="8" t="str">
        <f>'Unit Costs'!C74</f>
        <v>EA</v>
      </c>
      <c r="E74" s="47">
        <v>5</v>
      </c>
      <c r="F74" s="9">
        <f>'Unit Costs'!F74</f>
        <v>2655.47</v>
      </c>
      <c r="G74" s="9">
        <f t="shared" si="1"/>
        <v>14000</v>
      </c>
      <c r="H74" s="84"/>
      <c r="I74" s="5">
        <v>5</v>
      </c>
    </row>
    <row r="75" spans="2:9" ht="15">
      <c r="B75" s="12" t="str">
        <f>'Unit Costs'!G75</f>
        <v>641-2-12</v>
      </c>
      <c r="C75" s="6" t="str">
        <f>'Unit Costs'!B75</f>
        <v>Prestressed Concrete Pole, F&amp;I, Type P-II Service Pole</v>
      </c>
      <c r="D75" s="8" t="str">
        <f>'Unit Costs'!C75</f>
        <v>EA</v>
      </c>
      <c r="E75" s="47">
        <v>4</v>
      </c>
      <c r="F75" s="9">
        <f>'Unit Costs'!F75</f>
        <v>2619.34</v>
      </c>
      <c r="G75" s="9">
        <f t="shared" si="1"/>
        <v>11000</v>
      </c>
      <c r="H75" s="84"/>
      <c r="I75" s="5">
        <v>4</v>
      </c>
    </row>
    <row r="76" spans="2:9" ht="15" hidden="1">
      <c r="B76" s="12" t="str">
        <f>'Unit Costs'!G76</f>
        <v>641-2-13</v>
      </c>
      <c r="C76" s="6" t="str">
        <f>'Unit Costs'!B76</f>
        <v>Prestressed Concrete Pole, F&amp;I, Type P-III</v>
      </c>
      <c r="D76" s="8" t="str">
        <f>'Unit Costs'!C76</f>
        <v>EA</v>
      </c>
      <c r="E76" s="47">
        <v>0</v>
      </c>
      <c r="F76" s="9">
        <f>'Unit Costs'!F76</f>
        <v>13648.21</v>
      </c>
      <c r="G76" s="9">
        <f t="shared" si="1"/>
        <v>0</v>
      </c>
      <c r="H76" s="84"/>
      <c r="I76" s="5">
        <v>2</v>
      </c>
    </row>
    <row r="77" spans="2:9" ht="15">
      <c r="B77" s="12" t="str">
        <f>'Unit Costs'!G77</f>
        <v>646-1-11</v>
      </c>
      <c r="C77" s="6" t="str">
        <f>'Unit Costs'!B77</f>
        <v>Aluminum Signals Pole, Pedestal</v>
      </c>
      <c r="D77" s="8" t="str">
        <f>'Unit Costs'!C77</f>
        <v>EA</v>
      </c>
      <c r="E77" s="47">
        <v>16</v>
      </c>
      <c r="F77" s="9">
        <f>'Unit Costs'!F77</f>
        <v>2712.46</v>
      </c>
      <c r="G77" s="9">
        <f t="shared" si="1"/>
        <v>44000</v>
      </c>
      <c r="H77" s="84"/>
      <c r="I77" s="5">
        <v>4</v>
      </c>
    </row>
    <row r="78" spans="2:9" ht="15">
      <c r="B78" s="12" t="str">
        <f>'Unit Costs'!G78</f>
        <v>649-21-3</v>
      </c>
      <c r="C78" s="6" t="str">
        <f>'Unit Costs'!B78</f>
        <v>Steel Mast Arm Assembly, F&amp;I, Single Arm 40'</v>
      </c>
      <c r="D78" s="8" t="str">
        <f>'Unit Costs'!C78</f>
        <v>EA</v>
      </c>
      <c r="E78" s="47">
        <v>2</v>
      </c>
      <c r="F78" s="9">
        <f>'Unit Costs'!F78</f>
        <v>61488.56</v>
      </c>
      <c r="G78" s="9">
        <f t="shared" si="1"/>
        <v>123000</v>
      </c>
      <c r="H78" s="84"/>
      <c r="I78" s="5">
        <v>2</v>
      </c>
    </row>
    <row r="79" spans="2:9" ht="15">
      <c r="B79" s="12" t="str">
        <f>'Unit Costs'!G79</f>
        <v>649-21-10</v>
      </c>
      <c r="C79" s="6" t="str">
        <f>'Unit Costs'!B79</f>
        <v>Steel Mast Arm Assembly, F&amp;I, Single Arm 60'</v>
      </c>
      <c r="D79" s="8" t="str">
        <f>'Unit Costs'!C79</f>
        <v>EA</v>
      </c>
      <c r="E79" s="47">
        <v>10</v>
      </c>
      <c r="F79" s="9">
        <f>'Unit Costs'!F79</f>
        <v>81436.53</v>
      </c>
      <c r="G79" s="9">
        <f t="shared" ref="G79" si="17">ROUNDUP((E79*F79),-3)</f>
        <v>815000</v>
      </c>
      <c r="H79" s="84"/>
      <c r="I79" s="5">
        <v>10</v>
      </c>
    </row>
    <row r="80" spans="2:9" ht="15">
      <c r="B80" s="12" t="str">
        <f>'Unit Costs'!G80</f>
        <v>649-21-15</v>
      </c>
      <c r="C80" s="6" t="str">
        <f>'Unit Costs'!B80</f>
        <v>Steel Mast Arm Assembly, F&amp;I, Single Arm 70'</v>
      </c>
      <c r="D80" s="8" t="str">
        <f>'Unit Costs'!C80</f>
        <v>EA</v>
      </c>
      <c r="E80" s="47">
        <v>2</v>
      </c>
      <c r="F80" s="9">
        <f>'Unit Costs'!F80</f>
        <v>95736.6</v>
      </c>
      <c r="G80" s="9">
        <f t="shared" ref="G80" si="18">ROUNDUP((E80*F80),-3)</f>
        <v>192000</v>
      </c>
      <c r="H80" s="84"/>
      <c r="I80" s="5">
        <v>2</v>
      </c>
    </row>
    <row r="81" spans="2:9" ht="15">
      <c r="B81" s="12" t="str">
        <f>'Unit Costs'!G81</f>
        <v>650-1-14</v>
      </c>
      <c r="C81" s="6" t="str">
        <f>'Unit Costs'!B81</f>
        <v>Vehicular Traffic Signal, F&amp;I Aluminum, 3 Section, 1 Way</v>
      </c>
      <c r="D81" s="8" t="str">
        <f>'Unit Costs'!C81</f>
        <v>EA</v>
      </c>
      <c r="E81" s="47">
        <v>28</v>
      </c>
      <c r="F81" s="9">
        <f>'Unit Costs'!F81</f>
        <v>1942.96</v>
      </c>
      <c r="G81" s="9">
        <f t="shared" si="1"/>
        <v>55000</v>
      </c>
      <c r="H81" s="84"/>
      <c r="I81" s="5">
        <v>21</v>
      </c>
    </row>
    <row r="82" spans="2:9" ht="15">
      <c r="B82" s="12" t="str">
        <f>'Unit Costs'!G82</f>
        <v>653-1-11</v>
      </c>
      <c r="C82" s="6" t="str">
        <f>'Unit Costs'!B82</f>
        <v>Pedestrian Signal, F&amp;I LED Countdown, 1 Way</v>
      </c>
      <c r="D82" s="8" t="str">
        <f>'Unit Costs'!C82</f>
        <v>EA</v>
      </c>
      <c r="E82" s="47">
        <v>16</v>
      </c>
      <c r="F82" s="9">
        <f>'Unit Costs'!F82</f>
        <v>1092.02</v>
      </c>
      <c r="G82" s="9">
        <f t="shared" si="1"/>
        <v>18000</v>
      </c>
      <c r="H82" s="84"/>
      <c r="I82" s="5">
        <v>12</v>
      </c>
    </row>
    <row r="83" spans="2:9" ht="15">
      <c r="B83" s="12" t="str">
        <f>'Unit Costs'!G83</f>
        <v>654-3-10</v>
      </c>
      <c r="C83" s="6" t="str">
        <f>'Unit Costs'!B83</f>
        <v>Mid: Pedestrian Hybrid Beacon, F&amp;I, Comp</v>
      </c>
      <c r="D83" s="8" t="str">
        <f>'Unit Costs'!C83</f>
        <v>EA</v>
      </c>
      <c r="E83" s="47">
        <v>8</v>
      </c>
      <c r="F83" s="9">
        <f>'Unit Costs'!F83</f>
        <v>2326.17</v>
      </c>
      <c r="G83" s="9">
        <f t="shared" ref="G83:G86" si="19">ROUNDUP((E83*F83),-3)</f>
        <v>19000</v>
      </c>
      <c r="H83" s="84"/>
      <c r="I83" s="5">
        <v>8</v>
      </c>
    </row>
    <row r="84" spans="2:9" ht="15">
      <c r="B84" s="12" t="str">
        <f>'Unit Costs'!G84</f>
        <v>660-1-102</v>
      </c>
      <c r="C84" s="6" t="str">
        <f>'Unit Costs'!B84</f>
        <v>Loop Detector Inductive, F&amp;I, Type 9</v>
      </c>
      <c r="D84" s="8" t="str">
        <f>'Unit Costs'!C84</f>
        <v>EA</v>
      </c>
      <c r="E84" s="47">
        <v>28</v>
      </c>
      <c r="F84" s="9">
        <f>'Unit Costs'!F84</f>
        <v>384.27</v>
      </c>
      <c r="G84" s="9">
        <f t="shared" si="19"/>
        <v>11000</v>
      </c>
      <c r="H84" s="84"/>
      <c r="I84" s="5">
        <v>24</v>
      </c>
    </row>
    <row r="85" spans="2:9" ht="15">
      <c r="B85" s="12" t="str">
        <f>'Unit Costs'!G85</f>
        <v>660-2-102</v>
      </c>
      <c r="C85" s="6" t="str">
        <f>'Unit Costs'!B85</f>
        <v>Loop Assembly, F&amp;I, Type B</v>
      </c>
      <c r="D85" s="8" t="str">
        <f>'Unit Costs'!C85</f>
        <v>EA</v>
      </c>
      <c r="E85" s="47">
        <v>16</v>
      </c>
      <c r="F85" s="9">
        <f>'Unit Costs'!F85</f>
        <v>1796.13</v>
      </c>
      <c r="G85" s="9">
        <f t="shared" si="19"/>
        <v>29000</v>
      </c>
      <c r="H85" s="84"/>
      <c r="I85" s="5">
        <v>16</v>
      </c>
    </row>
    <row r="86" spans="2:9" ht="15">
      <c r="B86" s="12" t="str">
        <f>'Unit Costs'!G86</f>
        <v>660-2-106</v>
      </c>
      <c r="C86" s="6" t="str">
        <f>'Unit Costs'!B86</f>
        <v>Loop Assembly, F&amp;I, Type F</v>
      </c>
      <c r="D86" s="8" t="str">
        <f>'Unit Costs'!C86</f>
        <v>EA</v>
      </c>
      <c r="E86" s="47">
        <v>24</v>
      </c>
      <c r="F86" s="9">
        <f>'Unit Costs'!F86</f>
        <v>2093.1999999999998</v>
      </c>
      <c r="G86" s="9">
        <f t="shared" si="19"/>
        <v>51000</v>
      </c>
      <c r="H86" s="84"/>
      <c r="I86" s="5">
        <v>24</v>
      </c>
    </row>
    <row r="87" spans="2:9" ht="15">
      <c r="B87" s="12" t="str">
        <f>'Unit Costs'!G87</f>
        <v>660-4-11</v>
      </c>
      <c r="C87" s="6" t="str">
        <f>'Unit Costs'!B87</f>
        <v>Vehicle Detection System - Video, F&amp;I Cabinet Equipment</v>
      </c>
      <c r="D87" s="8" t="str">
        <f>'Unit Costs'!C87</f>
        <v>EA</v>
      </c>
      <c r="E87" s="47">
        <v>3</v>
      </c>
      <c r="F87" s="9">
        <f>'Unit Costs'!F87</f>
        <v>11486.12</v>
      </c>
      <c r="G87" s="9">
        <f t="shared" si="1"/>
        <v>35000</v>
      </c>
      <c r="H87" s="84"/>
      <c r="I87" s="5">
        <v>2</v>
      </c>
    </row>
    <row r="88" spans="2:9" ht="15">
      <c r="B88" s="12" t="str">
        <f>'Unit Costs'!G88</f>
        <v>660-4-12</v>
      </c>
      <c r="C88" s="6" t="str">
        <f>'Unit Costs'!B88</f>
        <v>Vehicle Detection System - Video, F&amp;I Above Ground Equipment</v>
      </c>
      <c r="D88" s="8" t="str">
        <f>'Unit Costs'!C88</f>
        <v>EA</v>
      </c>
      <c r="E88" s="47">
        <v>7</v>
      </c>
      <c r="F88" s="9">
        <f>'Unit Costs'!F88</f>
        <v>7174.42</v>
      </c>
      <c r="G88" s="9">
        <f t="shared" si="1"/>
        <v>51000</v>
      </c>
      <c r="H88" s="84"/>
      <c r="I88" s="5">
        <v>7</v>
      </c>
    </row>
    <row r="89" spans="2:9" ht="15">
      <c r="B89" s="12" t="str">
        <f>'Unit Costs'!G89</f>
        <v>663-1-122</v>
      </c>
      <c r="C89" s="6" t="str">
        <f>'Unit Costs'!B89</f>
        <v>Signal Priority and Preemption System, F&amp;I, GPS, Detector</v>
      </c>
      <c r="D89" s="8" t="str">
        <f>'Unit Costs'!C89</f>
        <v>EA</v>
      </c>
      <c r="E89" s="47">
        <v>3</v>
      </c>
      <c r="F89" s="9">
        <f>'Unit Costs'!F89</f>
        <v>9022.73</v>
      </c>
      <c r="G89" s="9">
        <f t="shared" si="1"/>
        <v>28000</v>
      </c>
      <c r="H89" s="84"/>
      <c r="I89" s="5">
        <v>2</v>
      </c>
    </row>
    <row r="90" spans="2:9" ht="15">
      <c r="B90" s="12" t="str">
        <f>'Unit Costs'!G90</f>
        <v>665-1-11</v>
      </c>
      <c r="C90" s="6" t="str">
        <f>'Unit Costs'!B90</f>
        <v>Pedestrian Detector, F&amp;I, Standard</v>
      </c>
      <c r="D90" s="8" t="str">
        <f>'Unit Costs'!C90</f>
        <v>EA</v>
      </c>
      <c r="E90" s="47">
        <v>12</v>
      </c>
      <c r="F90" s="9">
        <f>'Unit Costs'!F90</f>
        <v>458.7</v>
      </c>
      <c r="G90" s="9">
        <f t="shared" si="1"/>
        <v>6000</v>
      </c>
      <c r="H90" s="84"/>
      <c r="I90" s="5">
        <v>12</v>
      </c>
    </row>
    <row r="91" spans="2:9" ht="15">
      <c r="B91" s="12" t="str">
        <f>'Unit Costs'!G91</f>
        <v>670-5-111</v>
      </c>
      <c r="C91" s="6" t="str">
        <f>'Unit Costs'!B91</f>
        <v>Traffic Controller Assembly, F&amp;I, NEMA, 1 Preemption</v>
      </c>
      <c r="D91" s="8" t="str">
        <f>'Unit Costs'!C91</f>
        <v>EA</v>
      </c>
      <c r="E91" s="47">
        <v>4</v>
      </c>
      <c r="F91" s="9">
        <f>'Unit Costs'!F91</f>
        <v>42313</v>
      </c>
      <c r="G91" s="9">
        <f t="shared" si="1"/>
        <v>170000</v>
      </c>
      <c r="H91" s="84"/>
      <c r="I91" s="5">
        <v>4</v>
      </c>
    </row>
    <row r="92" spans="2:9" ht="15">
      <c r="B92" s="12" t="str">
        <f>'Unit Costs'!G92</f>
        <v>676-2-111</v>
      </c>
      <c r="C92" s="6" t="str">
        <f>'Unit Costs'!B92</f>
        <v>ITS Cabinet - F&amp;I, Pole, 336</v>
      </c>
      <c r="D92" s="8" t="str">
        <f>'Unit Costs'!C92</f>
        <v>EA</v>
      </c>
      <c r="E92" s="47">
        <v>4</v>
      </c>
      <c r="F92" s="9">
        <f>'Unit Costs'!F92</f>
        <v>14019.5</v>
      </c>
      <c r="G92" s="9">
        <f t="shared" ref="G92:G93" si="20">ROUNDUP((E92*F92),-3)</f>
        <v>57000</v>
      </c>
      <c r="H92" s="84"/>
      <c r="I92" s="5">
        <v>4</v>
      </c>
    </row>
    <row r="93" spans="2:9" ht="15">
      <c r="B93" s="12" t="str">
        <f>'Unit Costs'!G93</f>
        <v>682-1-113</v>
      </c>
      <c r="C93" s="6" t="str">
        <f>'Unit Costs'!B93</f>
        <v>ITS CCTV Camera, F&amp;I, Dome Encl - Press</v>
      </c>
      <c r="D93" s="8" t="str">
        <f>'Unit Costs'!C93</f>
        <v>EA</v>
      </c>
      <c r="E93" s="47">
        <v>2</v>
      </c>
      <c r="F93" s="9">
        <f>'Unit Costs'!F93</f>
        <v>7630.85</v>
      </c>
      <c r="G93" s="9">
        <f t="shared" si="20"/>
        <v>16000</v>
      </c>
      <c r="H93" s="84"/>
      <c r="I93" s="5">
        <v>2</v>
      </c>
    </row>
    <row r="94" spans="2:9" ht="15">
      <c r="B94" s="12" t="str">
        <f>'Unit Costs'!G94</f>
        <v>684-1-1</v>
      </c>
      <c r="C94" s="6" t="str">
        <f>'Unit Costs'!B94</f>
        <v>Managed Field Ethernet Switch, F&amp;I</v>
      </c>
      <c r="D94" s="8" t="str">
        <f>'Unit Costs'!C94</f>
        <v>EA</v>
      </c>
      <c r="E94" s="47">
        <v>4</v>
      </c>
      <c r="F94" s="9">
        <f>'Unit Costs'!F94</f>
        <v>8297.26</v>
      </c>
      <c r="G94" s="9">
        <f t="shared" si="1"/>
        <v>34000</v>
      </c>
      <c r="H94" s="84"/>
      <c r="I94" s="5">
        <v>4</v>
      </c>
    </row>
    <row r="95" spans="2:9" ht="15">
      <c r="B95" s="12" t="str">
        <f>'Unit Costs'!G95</f>
        <v>685-1-13</v>
      </c>
      <c r="C95" s="6" t="str">
        <f>'Unit Costs'!B95</f>
        <v>Uninterruptible Power Supply, F&amp;I, Line Interactive W Cab</v>
      </c>
      <c r="D95" s="8" t="str">
        <f>'Unit Costs'!C95</f>
        <v>EA</v>
      </c>
      <c r="E95" s="47">
        <v>3</v>
      </c>
      <c r="F95" s="9">
        <f>'Unit Costs'!F95</f>
        <v>13682.06</v>
      </c>
      <c r="G95" s="9">
        <f t="shared" si="1"/>
        <v>42000</v>
      </c>
      <c r="H95" s="84"/>
      <c r="I95" s="5">
        <v>3</v>
      </c>
    </row>
    <row r="96" spans="2:9" ht="15">
      <c r="B96" s="12" t="str">
        <f>'Unit Costs'!G96</f>
        <v>685-2-1</v>
      </c>
      <c r="C96" s="6" t="str">
        <f>'Unit Costs'!B96</f>
        <v>RPMU F&amp;I</v>
      </c>
      <c r="D96" s="8" t="str">
        <f>'Unit Costs'!C96</f>
        <v>EA</v>
      </c>
      <c r="E96" s="47">
        <v>2</v>
      </c>
      <c r="F96" s="9">
        <f>'Unit Costs'!F96</f>
        <v>1167.75</v>
      </c>
      <c r="G96" s="9">
        <f t="shared" ref="G96" si="21">ROUNDUP((E96*F96),-3)</f>
        <v>3000</v>
      </c>
      <c r="H96" s="84"/>
      <c r="I96" s="5">
        <v>2</v>
      </c>
    </row>
    <row r="97" spans="2:19" ht="15">
      <c r="B97" s="12" t="str">
        <f>'Unit Costs'!G97</f>
        <v>700-1-111</v>
      </c>
      <c r="C97" s="6" t="str">
        <f>'Unit Costs'!B97</f>
        <v>Single Post Sign, F&amp;I Ground Mount, &lt;12 SF</v>
      </c>
      <c r="D97" s="8" t="str">
        <f>'Unit Costs'!C97</f>
        <v>EA</v>
      </c>
      <c r="E97" s="47">
        <v>120</v>
      </c>
      <c r="F97" s="9">
        <f>'Unit Costs'!F97</f>
        <v>573.41</v>
      </c>
      <c r="G97" s="9">
        <f t="shared" si="1"/>
        <v>69000</v>
      </c>
      <c r="H97" s="84"/>
      <c r="I97" s="5">
        <v>119</v>
      </c>
    </row>
    <row r="98" spans="2:19" ht="15.75">
      <c r="B98" s="12" t="str">
        <f>'Unit Costs'!G98</f>
        <v>700-1-112</v>
      </c>
      <c r="C98" s="6" t="str">
        <f>'Unit Costs'!B98</f>
        <v>Single Post Sign, F&amp;I Ground Mount, 12-20 SF</v>
      </c>
      <c r="D98" s="8" t="str">
        <f>'Unit Costs'!C98</f>
        <v>EA</v>
      </c>
      <c r="E98" s="47">
        <v>20</v>
      </c>
      <c r="F98" s="9">
        <f>'Unit Costs'!F98</f>
        <v>2124.8000000000002</v>
      </c>
      <c r="G98" s="9">
        <f t="shared" si="1"/>
        <v>43000</v>
      </c>
      <c r="H98" s="84"/>
      <c r="I98" s="5">
        <v>19</v>
      </c>
      <c r="L98" s="31"/>
    </row>
    <row r="99" spans="2:19" ht="15.75">
      <c r="B99" s="12" t="str">
        <f>'Unit Costs'!G99</f>
        <v>700-2-114</v>
      </c>
      <c r="C99" s="6" t="str">
        <f>'Unit Costs'!B99</f>
        <v>Multi Post Sign, F&amp;I Ground Mount, 31-50 SF</v>
      </c>
      <c r="D99" s="8" t="str">
        <f>'Unit Costs'!C99</f>
        <v>EA</v>
      </c>
      <c r="E99" s="47">
        <v>12</v>
      </c>
      <c r="F99" s="9">
        <f>'Unit Costs'!F99</f>
        <v>7947.83</v>
      </c>
      <c r="G99" s="9">
        <f t="shared" ref="G99:G101" si="22">ROUNDUP((E99*F99),-3)</f>
        <v>96000</v>
      </c>
      <c r="H99" s="84"/>
      <c r="I99" s="5">
        <v>12</v>
      </c>
      <c r="L99" s="31"/>
    </row>
    <row r="100" spans="2:19" ht="15.75">
      <c r="B100" s="12" t="str">
        <f>'Unit Costs'!G100</f>
        <v>700-2-115</v>
      </c>
      <c r="C100" s="6" t="str">
        <f>'Unit Costs'!B100</f>
        <v>Multi Post Sign, F&amp;I Ground Mount, 51-100 SF</v>
      </c>
      <c r="D100" s="8" t="str">
        <f>'Unit Costs'!C100</f>
        <v>EA</v>
      </c>
      <c r="E100" s="47">
        <v>16</v>
      </c>
      <c r="F100" s="9">
        <f>'Unit Costs'!F100</f>
        <v>11398.15</v>
      </c>
      <c r="G100" s="9">
        <f t="shared" si="22"/>
        <v>183000</v>
      </c>
      <c r="H100" s="84"/>
      <c r="I100" s="5">
        <v>16</v>
      </c>
      <c r="L100" s="31"/>
    </row>
    <row r="101" spans="2:19" ht="15.75">
      <c r="B101" s="12" t="str">
        <f>'Unit Costs'!G101</f>
        <v>700-2-116</v>
      </c>
      <c r="C101" s="6" t="str">
        <f>'Unit Costs'!B101</f>
        <v>Multi Post Sign, F&amp;I Ground Mount, 101-200 SF</v>
      </c>
      <c r="D101" s="8" t="str">
        <f>'Unit Costs'!C101</f>
        <v>EA</v>
      </c>
      <c r="E101" s="47">
        <v>5</v>
      </c>
      <c r="F101" s="9">
        <f>'Unit Costs'!F101</f>
        <v>19328.97</v>
      </c>
      <c r="G101" s="9">
        <f t="shared" si="22"/>
        <v>97000</v>
      </c>
      <c r="H101" s="84"/>
      <c r="I101" s="5">
        <v>5</v>
      </c>
      <c r="L101" s="31"/>
    </row>
    <row r="102" spans="2:19" ht="15.75">
      <c r="B102" s="12" t="str">
        <f>'Unit Costs'!G102</f>
        <v>700-3-201</v>
      </c>
      <c r="C102" s="6" t="str">
        <f>'Unit Costs'!B102</f>
        <v>Sign Panel, F&amp;I Overhead Mount, &lt;12 SF</v>
      </c>
      <c r="D102" s="8" t="str">
        <f>'Unit Costs'!C102</f>
        <v>EA</v>
      </c>
      <c r="E102" s="47">
        <v>2</v>
      </c>
      <c r="F102" s="9">
        <f>'Unit Costs'!F102</f>
        <v>1013.53</v>
      </c>
      <c r="G102" s="9">
        <f t="shared" ref="G102:G125" si="23">ROUNDUP((E102*F102),-3)</f>
        <v>3000</v>
      </c>
      <c r="H102" s="84"/>
      <c r="I102" s="5">
        <v>2</v>
      </c>
      <c r="L102" s="31"/>
    </row>
    <row r="103" spans="2:19" ht="15.75" hidden="1">
      <c r="B103" s="12" t="str">
        <f>'Unit Costs'!G103</f>
        <v>700-5-11</v>
      </c>
      <c r="C103" s="6" t="str">
        <f>'Unit Costs'!B103</f>
        <v>Internally Illuminated Sign, F&amp;I Ground Mount, &lt;12 SF</v>
      </c>
      <c r="D103" s="8" t="str">
        <f>'Unit Costs'!C103</f>
        <v>EA</v>
      </c>
      <c r="E103" s="47">
        <v>0</v>
      </c>
      <c r="F103" s="9">
        <f>'Unit Costs'!F103</f>
        <v>5100</v>
      </c>
      <c r="G103" s="9">
        <f t="shared" ref="G103" si="24">ROUNDUP((E103*F103),-3)</f>
        <v>0</v>
      </c>
      <c r="H103" s="84"/>
      <c r="I103" s="5">
        <v>8</v>
      </c>
      <c r="L103" s="31"/>
    </row>
    <row r="104" spans="2:19" ht="15.75">
      <c r="B104" s="12" t="str">
        <f>'Unit Costs'!G104</f>
        <v>700-5-22</v>
      </c>
      <c r="C104" s="6" t="str">
        <f>'Unit Costs'!B104</f>
        <v>Internally Illuminated Sign, F&amp;I Overhead Mount, 12-18 SF</v>
      </c>
      <c r="D104" s="8" t="str">
        <f>'Unit Costs'!C104</f>
        <v>EA</v>
      </c>
      <c r="E104" s="47">
        <v>10</v>
      </c>
      <c r="F104" s="9">
        <f>'Unit Costs'!F104</f>
        <v>5697.03</v>
      </c>
      <c r="G104" s="9">
        <f t="shared" si="23"/>
        <v>57000</v>
      </c>
      <c r="H104" s="84"/>
      <c r="I104" s="5">
        <v>6</v>
      </c>
      <c r="L104" s="31"/>
    </row>
    <row r="105" spans="2:19" ht="15.75">
      <c r="B105" s="12" t="str">
        <f>'Unit Costs'!G105</f>
        <v>700-141-111</v>
      </c>
      <c r="C105" s="6" t="str">
        <f>'Unit Costs'!B105</f>
        <v>EHSA, AC, Ground MT, Beacon, &lt;12 SF</v>
      </c>
      <c r="D105" s="8" t="str">
        <f>'Unit Costs'!C105</f>
        <v>EA</v>
      </c>
      <c r="E105" s="47">
        <v>4</v>
      </c>
      <c r="F105" s="9">
        <f>'Unit Costs'!F105</f>
        <v>10728.37</v>
      </c>
      <c r="G105" s="9">
        <f t="shared" ref="G105" si="25">ROUNDUP((E105*F105),-3)</f>
        <v>43000</v>
      </c>
      <c r="H105" s="84"/>
      <c r="I105" s="5">
        <v>4</v>
      </c>
      <c r="L105" s="31"/>
    </row>
    <row r="106" spans="2:19" ht="15">
      <c r="B106" s="12" t="str">
        <f>'Unit Costs'!G106</f>
        <v>706-1-3</v>
      </c>
      <c r="C106" s="6" t="str">
        <f>'Unit Costs'!B106</f>
        <v>Raised Pavement Marker, Type B</v>
      </c>
      <c r="D106" s="8" t="str">
        <f>'Unit Costs'!C106</f>
        <v>EA</v>
      </c>
      <c r="E106" s="47">
        <v>2000</v>
      </c>
      <c r="F106" s="9">
        <f>'Unit Costs'!F106</f>
        <v>4.82</v>
      </c>
      <c r="G106" s="9">
        <f t="shared" si="23"/>
        <v>10000</v>
      </c>
      <c r="H106" s="84"/>
      <c r="I106" s="76">
        <f>(I119+I118)*5280/40</f>
        <v>1929.9749999999999</v>
      </c>
    </row>
    <row r="107" spans="2:19" ht="15">
      <c r="B107" s="12" t="str">
        <f>'Unit Costs'!G107</f>
        <v>710-90</v>
      </c>
      <c r="C107" s="6" t="str">
        <f>'Unit Costs'!B107</f>
        <v>Painted Pavement Markings, Final Surface</v>
      </c>
      <c r="D107" s="8" t="str">
        <f>'Unit Costs'!C107</f>
        <v>LS</v>
      </c>
      <c r="E107" s="47">
        <v>1</v>
      </c>
      <c r="F107" s="9">
        <f>'Unit Costs'!F107</f>
        <v>41669.230000000003</v>
      </c>
      <c r="G107" s="9">
        <f t="shared" si="23"/>
        <v>42000</v>
      </c>
      <c r="H107" s="84"/>
      <c r="I107" s="5">
        <v>1</v>
      </c>
    </row>
    <row r="108" spans="2:19" ht="15">
      <c r="B108" s="12" t="str">
        <f>'Unit Costs'!G108</f>
        <v>711-11-123</v>
      </c>
      <c r="C108" s="6" t="str">
        <f>'Unit Costs'!B108</f>
        <v>Thermoplastic, Standard, White, Solid 12"</v>
      </c>
      <c r="D108" s="8" t="str">
        <f>'Unit Costs'!C108</f>
        <v>LF</v>
      </c>
      <c r="E108" s="47">
        <v>1800</v>
      </c>
      <c r="F108" s="9">
        <f>'Unit Costs'!F108</f>
        <v>3.95</v>
      </c>
      <c r="G108" s="9">
        <f t="shared" si="23"/>
        <v>8000</v>
      </c>
      <c r="H108" s="84"/>
      <c r="I108" s="5">
        <v>1779</v>
      </c>
    </row>
    <row r="109" spans="2:19" ht="15.75" hidden="1">
      <c r="B109" s="12" t="str">
        <f>'Unit Costs'!G109</f>
        <v>711-11-124</v>
      </c>
      <c r="C109" s="6" t="str">
        <f>'Unit Costs'!B109</f>
        <v>Thermoplastic, Standard, White, Solid 18"</v>
      </c>
      <c r="D109" s="8" t="str">
        <f>'Unit Costs'!C109</f>
        <v>LF</v>
      </c>
      <c r="E109" s="47">
        <v>0</v>
      </c>
      <c r="F109" s="9">
        <f>'Unit Costs'!F109</f>
        <v>5.62</v>
      </c>
      <c r="G109" s="9">
        <f t="shared" si="23"/>
        <v>0</v>
      </c>
      <c r="H109" s="84"/>
      <c r="I109" s="5">
        <v>0</v>
      </c>
      <c r="S109" s="31"/>
    </row>
    <row r="110" spans="2:19" ht="15.75">
      <c r="B110" s="12" t="str">
        <f>'Unit Costs'!G110</f>
        <v>711-11-125</v>
      </c>
      <c r="C110" s="6" t="str">
        <f>'Unit Costs'!B110</f>
        <v>Thermoplastic, Standard, White, Solid 24"</v>
      </c>
      <c r="D110" s="8" t="str">
        <f>'Unit Costs'!C110</f>
        <v>LF</v>
      </c>
      <c r="E110" s="47">
        <v>1000</v>
      </c>
      <c r="F110" s="9">
        <f>'Unit Costs'!F110</f>
        <v>7.42</v>
      </c>
      <c r="G110" s="9">
        <f t="shared" si="23"/>
        <v>8000</v>
      </c>
      <c r="H110" s="84"/>
      <c r="I110" s="5">
        <v>958</v>
      </c>
      <c r="S110" s="31"/>
    </row>
    <row r="111" spans="2:19" ht="15.75">
      <c r="B111" s="12" t="str">
        <f>'Unit Costs'!G111</f>
        <v>711-11-141</v>
      </c>
      <c r="C111" s="6" t="str">
        <f>'Unit Costs'!B111</f>
        <v>Thermoplastic, Standard, White, Skip 2-4, 6"</v>
      </c>
      <c r="D111" s="8" t="str">
        <f>'Unit Costs'!C111</f>
        <v>GM</v>
      </c>
      <c r="E111" s="71">
        <v>0.2</v>
      </c>
      <c r="F111" s="9">
        <f>'Unit Costs'!F111</f>
        <v>2868.46</v>
      </c>
      <c r="G111" s="9">
        <f t="shared" si="23"/>
        <v>1000</v>
      </c>
      <c r="H111" s="84"/>
      <c r="I111" s="69">
        <f>698/5280</f>
        <v>0.1321969696969697</v>
      </c>
      <c r="Q111" s="31"/>
    </row>
    <row r="112" spans="2:19" ht="15" hidden="1">
      <c r="B112" s="12" t="str">
        <f>'Unit Costs'!G112</f>
        <v>711-11-144</v>
      </c>
      <c r="C112" s="6" t="str">
        <f>'Unit Costs'!B112</f>
        <v>Thermoplastic, Standard, White, Skip 2-2, 12"</v>
      </c>
      <c r="D112" s="8" t="str">
        <f>'Unit Costs'!C112</f>
        <v>GM</v>
      </c>
      <c r="E112" s="71">
        <v>0</v>
      </c>
      <c r="F112" s="9">
        <f>'Unit Costs'!F112</f>
        <v>3534.11</v>
      </c>
      <c r="G112" s="9">
        <f t="shared" si="23"/>
        <v>0</v>
      </c>
      <c r="H112" s="84"/>
      <c r="I112" s="69">
        <f>0/5280</f>
        <v>0</v>
      </c>
    </row>
    <row r="113" spans="2:9" ht="15">
      <c r="B113" s="12" t="str">
        <f>'Unit Costs'!G113</f>
        <v>711-11-160</v>
      </c>
      <c r="C113" s="6" t="str">
        <f>'Unit Costs'!B113</f>
        <v>Thermoplastic, Standard, White, Messages</v>
      </c>
      <c r="D113" s="8" t="str">
        <f>'Unit Costs'!C113</f>
        <v>EA</v>
      </c>
      <c r="E113" s="47">
        <v>5</v>
      </c>
      <c r="F113" s="9">
        <f>'Unit Costs'!F113</f>
        <v>185.61</v>
      </c>
      <c r="G113" s="9">
        <f t="shared" si="23"/>
        <v>1000</v>
      </c>
      <c r="H113" s="84"/>
      <c r="I113" s="5">
        <v>4</v>
      </c>
    </row>
    <row r="114" spans="2:9" ht="15">
      <c r="B114" s="12" t="str">
        <f>'Unit Costs'!G114</f>
        <v>711-11-170</v>
      </c>
      <c r="C114" s="6" t="str">
        <f>'Unit Costs'!B114</f>
        <v>Thermoplastic, Standard, White, Arrows</v>
      </c>
      <c r="D114" s="8" t="str">
        <f>'Unit Costs'!C114</f>
        <v>EA</v>
      </c>
      <c r="E114" s="47">
        <v>100</v>
      </c>
      <c r="F114" s="9">
        <f>'Unit Costs'!F114</f>
        <v>87.07</v>
      </c>
      <c r="G114" s="9">
        <f t="shared" si="23"/>
        <v>9000</v>
      </c>
      <c r="H114" s="84"/>
      <c r="I114" s="5">
        <v>93</v>
      </c>
    </row>
    <row r="115" spans="2:9" ht="15" hidden="1">
      <c r="B115" s="12" t="str">
        <f>'Unit Costs'!G115</f>
        <v>711-11-224</v>
      </c>
      <c r="C115" s="6" t="str">
        <f>'Unit Costs'!B115</f>
        <v>Thermoplastic, Standard, Yellow, Solid 18"</v>
      </c>
      <c r="D115" s="8" t="str">
        <f>'Unit Costs'!C115</f>
        <v>LF</v>
      </c>
      <c r="E115" s="47">
        <v>0</v>
      </c>
      <c r="F115" s="9">
        <f>'Unit Costs'!F115</f>
        <v>5.5</v>
      </c>
      <c r="G115" s="9">
        <f t="shared" si="23"/>
        <v>0</v>
      </c>
      <c r="H115" s="84"/>
    </row>
    <row r="116" spans="2:9" ht="15" hidden="1">
      <c r="B116" s="12" t="str">
        <f>'Unit Costs'!G116</f>
        <v>711-11-241</v>
      </c>
      <c r="C116" s="6" t="str">
        <f>'Unit Costs'!B116</f>
        <v>Thermoplastic, Standard, Yellow, Skip 2-4, 6"</v>
      </c>
      <c r="D116" s="8" t="str">
        <f>'Unit Costs'!C116</f>
        <v>GM</v>
      </c>
      <c r="E116" s="47">
        <v>0</v>
      </c>
      <c r="F116" s="9">
        <f>'Unit Costs'!F116</f>
        <v>3164.92</v>
      </c>
      <c r="G116" s="9">
        <f t="shared" si="23"/>
        <v>0</v>
      </c>
      <c r="H116" s="84"/>
      <c r="I116" s="69"/>
    </row>
    <row r="117" spans="2:9" ht="15">
      <c r="B117" s="12" t="str">
        <f>'Unit Costs'!G117</f>
        <v>711-16-101</v>
      </c>
      <c r="C117" s="6" t="str">
        <f>'Unit Costs'!B117</f>
        <v>Thermoplastic, Standard, White, Solid 6"</v>
      </c>
      <c r="D117" s="8" t="str">
        <f>'Unit Costs'!C117</f>
        <v>GM</v>
      </c>
      <c r="E117" s="71">
        <v>8.5</v>
      </c>
      <c r="F117" s="9">
        <f>'Unit Costs'!F117</f>
        <v>5385.34</v>
      </c>
      <c r="G117" s="9">
        <f t="shared" si="23"/>
        <v>46000</v>
      </c>
      <c r="H117" s="84"/>
      <c r="I117" s="69">
        <f>44426/5280</f>
        <v>8.4140151515151516</v>
      </c>
    </row>
    <row r="118" spans="2:9" ht="15">
      <c r="B118" s="12" t="str">
        <f>'Unit Costs'!G118</f>
        <v>711-16-131</v>
      </c>
      <c r="C118" s="6" t="str">
        <f>'Unit Costs'!B118</f>
        <v>Thermoplastic, Standard, White, Skip 10-30, 6"</v>
      </c>
      <c r="D118" s="8" t="str">
        <f>'Unit Costs'!C118</f>
        <v>GM</v>
      </c>
      <c r="E118" s="71">
        <v>7.5</v>
      </c>
      <c r="F118" s="9">
        <f>'Unit Costs'!F118</f>
        <v>2052.71</v>
      </c>
      <c r="G118" s="9">
        <f t="shared" si="23"/>
        <v>16000</v>
      </c>
      <c r="H118" s="84"/>
      <c r="I118" s="69">
        <f>37976/5280</f>
        <v>7.1924242424242424</v>
      </c>
    </row>
    <row r="119" spans="2:9" ht="15">
      <c r="B119" s="12" t="str">
        <f>'Unit Costs'!G119</f>
        <v>711-16-201</v>
      </c>
      <c r="C119" s="6" t="str">
        <f>'Unit Costs'!B119</f>
        <v>Thermoplastic, Standard, Yellow, Solid 6"</v>
      </c>
      <c r="D119" s="8" t="str">
        <f>'Unit Costs'!C119</f>
        <v>GM</v>
      </c>
      <c r="E119" s="71">
        <v>7.5</v>
      </c>
      <c r="F119" s="9">
        <f>'Unit Costs'!F119</f>
        <v>5455.22</v>
      </c>
      <c r="G119" s="9">
        <f t="shared" si="23"/>
        <v>41000</v>
      </c>
      <c r="H119" s="84"/>
      <c r="I119" s="69">
        <f>39223/5280</f>
        <v>7.428598484848485</v>
      </c>
    </row>
    <row r="120" spans="2:9" ht="15">
      <c r="B120" s="12" t="str">
        <f>'Unit Costs'!G120</f>
        <v>713-107</v>
      </c>
      <c r="C120" s="6" t="str">
        <f>'Unit Costs'!B120</f>
        <v>Preformed/Permanent Tape, Remove</v>
      </c>
      <c r="D120" s="8" t="str">
        <f>'Unit Costs'!C120</f>
        <v>SF</v>
      </c>
      <c r="E120" s="47">
        <v>7000</v>
      </c>
      <c r="F120" s="9">
        <f>'Unit Costs'!F120</f>
        <v>3.99</v>
      </c>
      <c r="G120" s="9">
        <f t="shared" ref="G120" si="26">ROUNDUP((E120*F120),-3)</f>
        <v>28000</v>
      </c>
      <c r="H120" s="84"/>
      <c r="I120" s="76">
        <v>6794</v>
      </c>
    </row>
    <row r="121" spans="2:9" ht="15">
      <c r="B121" s="12" t="str">
        <f>'Unit Costs'!G121</f>
        <v>715-1-13</v>
      </c>
      <c r="C121" s="6" t="str">
        <f>'Unit Costs'!B121</f>
        <v>Lighting Conductors, F&amp;I, Insulated, No 4-2</v>
      </c>
      <c r="D121" s="8" t="str">
        <f>'Unit Costs'!C121</f>
        <v>LF</v>
      </c>
      <c r="E121" s="47">
        <v>32000</v>
      </c>
      <c r="F121" s="9">
        <f>'Unit Costs'!F121</f>
        <v>3.89</v>
      </c>
      <c r="G121" s="9">
        <f t="shared" si="23"/>
        <v>125000</v>
      </c>
      <c r="H121" s="84"/>
      <c r="I121" s="76">
        <v>31571.759999999998</v>
      </c>
    </row>
    <row r="122" spans="2:9" ht="15">
      <c r="B122" s="12" t="str">
        <f>'Unit Costs'!G122</f>
        <v>715-7-12</v>
      </c>
      <c r="C122" s="6" t="str">
        <f>'Unit Costs'!B122</f>
        <v>Load Center, F&amp;I</v>
      </c>
      <c r="D122" s="8" t="str">
        <f>'Unit Costs'!C122</f>
        <v>EA</v>
      </c>
      <c r="E122" s="47">
        <v>1</v>
      </c>
      <c r="F122" s="9">
        <f>'Unit Costs'!F122</f>
        <v>9950</v>
      </c>
      <c r="G122" s="9">
        <f t="shared" si="23"/>
        <v>10000</v>
      </c>
      <c r="H122" s="84"/>
      <c r="I122" s="5">
        <v>1</v>
      </c>
    </row>
    <row r="123" spans="2:9" ht="15">
      <c r="B123" s="12" t="str">
        <f>'Unit Costs'!G123</f>
        <v>715-61-342</v>
      </c>
      <c r="C123" s="6" t="str">
        <f>'Unit Costs'!B123</f>
        <v>Light Pole Complete, F&amp;I, 40' Mounting Height, 12' Arm Length</v>
      </c>
      <c r="D123" s="8" t="str">
        <f>'Unit Costs'!C123</f>
        <v>EA</v>
      </c>
      <c r="E123" s="47">
        <v>60</v>
      </c>
      <c r="F123" s="9">
        <f>'Unit Costs'!F123</f>
        <v>8681.2800000000007</v>
      </c>
      <c r="G123" s="9">
        <f t="shared" si="23"/>
        <v>521000</v>
      </c>
      <c r="H123" s="84"/>
      <c r="I123" s="5">
        <v>59</v>
      </c>
    </row>
    <row r="124" spans="2:9" ht="15" hidden="1">
      <c r="B124" s="12" t="str">
        <f>'Unit Costs'!G124</f>
        <v>715-69-000</v>
      </c>
      <c r="C124" s="6" t="str">
        <f>'Unit Costs'!B124</f>
        <v>Light Pole Complete, Remove Pole and Foundation</v>
      </c>
      <c r="D124" s="8" t="str">
        <f>'Unit Costs'!C124</f>
        <v>EA</v>
      </c>
      <c r="E124" s="47">
        <v>0</v>
      </c>
      <c r="F124" s="9">
        <f>'Unit Costs'!F124</f>
        <v>914.6</v>
      </c>
      <c r="G124" s="9">
        <f t="shared" si="23"/>
        <v>0</v>
      </c>
      <c r="H124" s="84"/>
      <c r="I124" s="5">
        <v>0</v>
      </c>
    </row>
    <row r="125" spans="2:9" ht="15">
      <c r="B125" s="12" t="str">
        <f>'Unit Costs'!G125</f>
        <v>715-550-1</v>
      </c>
      <c r="C125" s="6" t="str">
        <f>'Unit Costs'!B125</f>
        <v>Pole Cable Distribution System, F&amp;I, Conventional</v>
      </c>
      <c r="D125" s="8" t="str">
        <f>'Unit Costs'!C125</f>
        <v>EA</v>
      </c>
      <c r="E125" s="47">
        <v>60</v>
      </c>
      <c r="F125" s="9">
        <f>'Unit Costs'!D125</f>
        <v>850.29</v>
      </c>
      <c r="G125" s="9">
        <f t="shared" si="23"/>
        <v>52000</v>
      </c>
      <c r="H125" s="84"/>
      <c r="I125" s="5">
        <v>59</v>
      </c>
    </row>
    <row r="126" spans="2:9" ht="15">
      <c r="B126" s="12"/>
      <c r="C126" s="6"/>
      <c r="D126" s="8"/>
      <c r="E126" s="47"/>
      <c r="F126" s="9"/>
      <c r="G126" s="9"/>
      <c r="H126" s="84"/>
      <c r="I126" s="5"/>
    </row>
    <row r="127" spans="2:9" ht="15">
      <c r="B127" s="12"/>
      <c r="C127" s="6" t="str">
        <f>'Unit Costs'!B128</f>
        <v>Currux Vission - Midblock Crossing - Pedestrian Monitoring</v>
      </c>
      <c r="D127" s="8" t="str">
        <f>'Unit Costs'!C128</f>
        <v>EA</v>
      </c>
      <c r="E127" s="8">
        <v>2</v>
      </c>
      <c r="F127" s="9">
        <f>'Unit Costs'!D128</f>
        <v>40000</v>
      </c>
      <c r="G127" s="9">
        <f>ROUNDUP((E127*F127),-3)</f>
        <v>80000</v>
      </c>
      <c r="H127" s="84"/>
      <c r="I127" s="5">
        <v>2</v>
      </c>
    </row>
    <row r="128" spans="2:9" ht="15">
      <c r="B128" s="12"/>
      <c r="C128" s="6"/>
      <c r="D128" s="8"/>
      <c r="E128" s="47"/>
      <c r="F128" s="9"/>
      <c r="G128" s="9"/>
      <c r="H128" s="84"/>
      <c r="I128" s="5"/>
    </row>
    <row r="129" spans="2:10" ht="15">
      <c r="B129" s="6"/>
      <c r="C129" s="6" t="str">
        <f>'Unit Costs'!B130</f>
        <v>Reedy Creek Bridge</v>
      </c>
      <c r="D129" s="8" t="str">
        <f>'Unit Costs'!C130</f>
        <v>SF</v>
      </c>
      <c r="E129" s="47">
        <v>125000</v>
      </c>
      <c r="F129" s="9">
        <v>190</v>
      </c>
      <c r="G129" s="9">
        <f>ROUNDUP((E129*F129),-3)</f>
        <v>23750000</v>
      </c>
      <c r="H129" s="84"/>
      <c r="I129" s="76">
        <f>53.67*2324</f>
        <v>124729.08</v>
      </c>
    </row>
    <row r="130" spans="2:10" ht="15.75" thickBot="1">
      <c r="B130" s="6"/>
      <c r="C130" s="10"/>
      <c r="D130" s="8"/>
      <c r="E130" s="8"/>
      <c r="F130" s="9"/>
      <c r="G130" s="9"/>
      <c r="H130" s="84"/>
    </row>
    <row r="131" spans="2:10" ht="16.5" thickBot="1">
      <c r="B131" s="22"/>
      <c r="C131" s="23"/>
      <c r="D131" s="23"/>
      <c r="E131" s="23"/>
      <c r="F131" s="23"/>
      <c r="G131" s="24"/>
      <c r="H131" s="85"/>
    </row>
    <row r="132" spans="2:10" ht="15">
      <c r="B132" s="62"/>
      <c r="C132" s="25" t="s">
        <v>5</v>
      </c>
      <c r="D132" s="25"/>
      <c r="E132" s="25"/>
      <c r="F132" s="26"/>
      <c r="G132" s="11">
        <f>ROUNDUP(SUM(G7:G130),-3)</f>
        <v>72364000</v>
      </c>
      <c r="H132" s="86"/>
    </row>
    <row r="133" spans="2:10" ht="15">
      <c r="B133" s="42"/>
      <c r="C133" s="18" t="s">
        <v>111</v>
      </c>
      <c r="D133" s="18"/>
      <c r="E133" s="18"/>
      <c r="F133" s="19"/>
      <c r="G133" s="7">
        <f>ROUNDUP(G132*0.2,-3)</f>
        <v>14473000</v>
      </c>
      <c r="H133" s="86"/>
    </row>
    <row r="134" spans="2:10" ht="15">
      <c r="B134" s="42"/>
      <c r="C134" s="27" t="s">
        <v>7</v>
      </c>
      <c r="D134" s="27"/>
      <c r="E134" s="27"/>
      <c r="F134" s="28"/>
      <c r="G134" s="7">
        <f>SUM(G133+G132)</f>
        <v>86837000</v>
      </c>
      <c r="H134" s="86"/>
    </row>
    <row r="135" spans="2:10" ht="15.75" thickBot="1">
      <c r="B135" s="42"/>
      <c r="C135" s="18" t="s">
        <v>277</v>
      </c>
      <c r="D135" s="18"/>
      <c r="E135" s="18"/>
      <c r="F135" s="19"/>
      <c r="G135" s="7">
        <f>ROUNDUP(0.2*G134,-3)</f>
        <v>17368000</v>
      </c>
      <c r="H135" s="86"/>
    </row>
    <row r="136" spans="2:10" ht="15.75" hidden="1" customHeight="1" thickBot="1">
      <c r="B136" s="42"/>
      <c r="C136" s="20" t="s">
        <v>6</v>
      </c>
      <c r="D136" s="20"/>
      <c r="E136" s="20"/>
      <c r="F136" s="21"/>
      <c r="G136" s="13">
        <f>SUM(G134+G135)</f>
        <v>104205000</v>
      </c>
      <c r="H136" s="87"/>
    </row>
    <row r="137" spans="2:10" ht="15.75" hidden="1" customHeight="1">
      <c r="B137" s="42"/>
      <c r="C137" s="20"/>
      <c r="D137" s="20"/>
      <c r="E137" s="20"/>
      <c r="F137" s="21"/>
      <c r="G137" s="30"/>
      <c r="H137" s="87"/>
    </row>
    <row r="138" spans="2:10" ht="15.75" hidden="1" customHeight="1">
      <c r="B138" s="42"/>
      <c r="C138" s="20" t="s">
        <v>152</v>
      </c>
      <c r="D138" s="20"/>
      <c r="E138" s="20"/>
      <c r="F138" s="21"/>
      <c r="G138" s="30">
        <f>ROUNDUP(0.12*$G$136,-2)</f>
        <v>12504600</v>
      </c>
      <c r="H138" s="87"/>
      <c r="J138" s="16"/>
    </row>
    <row r="139" spans="2:10" ht="15.75" hidden="1" customHeight="1">
      <c r="B139" s="42"/>
      <c r="C139" s="20"/>
      <c r="D139" s="20"/>
      <c r="E139" s="20"/>
      <c r="F139" s="21"/>
      <c r="G139" s="30"/>
      <c r="H139" s="87"/>
    </row>
    <row r="140" spans="2:10" ht="15.75" hidden="1" customHeight="1">
      <c r="B140" s="42"/>
      <c r="C140" s="18" t="s">
        <v>153</v>
      </c>
      <c r="D140" s="18"/>
      <c r="E140" s="18"/>
      <c r="F140" s="19"/>
      <c r="G140" s="7">
        <f>ROUNDUP(G134*0.075,-2)</f>
        <v>6512800</v>
      </c>
      <c r="H140" s="86"/>
      <c r="J140" s="29"/>
    </row>
    <row r="141" spans="2:10" ht="15.75" hidden="1" customHeight="1">
      <c r="B141" s="42"/>
      <c r="C141" s="18" t="s">
        <v>276</v>
      </c>
      <c r="D141" s="18"/>
      <c r="E141" s="18"/>
      <c r="F141" s="19"/>
      <c r="G141" s="7">
        <f>ROUNDUP(G140*0.1,-2)</f>
        <v>651300</v>
      </c>
      <c r="H141" s="86"/>
    </row>
    <row r="142" spans="2:10" ht="17.25" hidden="1" customHeight="1" thickBot="1">
      <c r="B142" s="66"/>
      <c r="C142" s="65" t="s">
        <v>37</v>
      </c>
      <c r="D142" s="20"/>
      <c r="E142" s="20"/>
      <c r="F142" s="21"/>
      <c r="G142" s="30">
        <f>SUM(G140:G141)</f>
        <v>7164100</v>
      </c>
      <c r="H142" s="88"/>
      <c r="J142" s="16"/>
    </row>
    <row r="143" spans="2:10" ht="21" thickBot="1">
      <c r="B143" s="63"/>
      <c r="C143" s="64" t="s">
        <v>298</v>
      </c>
      <c r="D143" s="99"/>
      <c r="E143" s="99"/>
      <c r="F143" s="100"/>
      <c r="G143" s="67">
        <f>G134+G135</f>
        <v>104205000</v>
      </c>
      <c r="H143" s="88"/>
      <c r="J143" s="16"/>
    </row>
    <row r="144" spans="2:10" ht="13.9" customHeight="1">
      <c r="B144" s="79" t="s">
        <v>283</v>
      </c>
      <c r="C144" s="77"/>
      <c r="D144" s="77"/>
      <c r="E144" s="77"/>
      <c r="F144" s="77"/>
      <c r="G144" s="77"/>
    </row>
    <row r="145" spans="2:7">
      <c r="B145" s="3" t="s">
        <v>284</v>
      </c>
      <c r="C145" s="78"/>
      <c r="D145" s="78"/>
      <c r="E145" s="78"/>
      <c r="F145" s="78"/>
      <c r="G145" s="78"/>
    </row>
  </sheetData>
  <mergeCells count="10">
    <mergeCell ref="D143:F143"/>
    <mergeCell ref="B1:C1"/>
    <mergeCell ref="D1:G1"/>
    <mergeCell ref="B2:G4"/>
    <mergeCell ref="B5:B6"/>
    <mergeCell ref="C5:C6"/>
    <mergeCell ref="D5:D6"/>
    <mergeCell ref="E5:E6"/>
    <mergeCell ref="F5:F6"/>
    <mergeCell ref="G5:G6"/>
  </mergeCells>
  <phoneticPr fontId="14" type="noConversion"/>
  <pageMargins left="0.7" right="0.7" top="0.75" bottom="0.75" header="0.3" footer="0.3"/>
  <pageSetup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43"/>
  <sheetViews>
    <sheetView topLeftCell="A14" zoomScaleNormal="100" workbookViewId="0">
      <selection activeCell="E50" sqref="E50"/>
    </sheetView>
  </sheetViews>
  <sheetFormatPr defaultRowHeight="15"/>
  <cols>
    <col min="1" max="1" width="11.140625" bestFit="1" customWidth="1"/>
    <col min="2" max="2" width="62" customWidth="1"/>
    <col min="3" max="3" width="8.7109375" style="1" customWidth="1"/>
    <col min="4" max="6" width="19.42578125" style="1" customWidth="1"/>
    <col min="7" max="7" width="14.42578125" customWidth="1"/>
    <col min="8" max="8" width="60.42578125" bestFit="1" customWidth="1"/>
    <col min="11" max="16" width="9.5703125" bestFit="1" customWidth="1"/>
    <col min="17" max="17" width="9.7109375" bestFit="1" customWidth="1"/>
  </cols>
  <sheetData>
    <row r="1" spans="1:21" ht="15" customHeight="1">
      <c r="B1" s="106" t="s">
        <v>12</v>
      </c>
      <c r="C1" s="106"/>
      <c r="D1" s="106"/>
      <c r="E1" s="106"/>
      <c r="F1" s="106"/>
      <c r="G1" s="106"/>
      <c r="H1" s="39"/>
    </row>
    <row r="2" spans="1:21" ht="15.75" customHeight="1">
      <c r="B2" s="106"/>
      <c r="C2" s="106"/>
      <c r="D2" s="106"/>
      <c r="E2" s="106"/>
      <c r="F2" s="106"/>
      <c r="G2" s="106"/>
      <c r="H2" s="39"/>
    </row>
    <row r="3" spans="1:21" ht="15" customHeight="1" thickBot="1">
      <c r="B3" s="106"/>
      <c r="C3" s="106"/>
      <c r="D3" s="106"/>
      <c r="E3" s="106"/>
      <c r="F3" s="106"/>
      <c r="G3" s="106"/>
      <c r="H3" s="39" t="s">
        <v>11</v>
      </c>
    </row>
    <row r="4" spans="1:21" ht="31.5" customHeight="1">
      <c r="B4" s="123" t="s">
        <v>0</v>
      </c>
      <c r="C4" s="125" t="s">
        <v>1</v>
      </c>
      <c r="D4" s="127" t="s">
        <v>278</v>
      </c>
      <c r="E4" s="129" t="s">
        <v>133</v>
      </c>
      <c r="F4" s="129" t="s">
        <v>136</v>
      </c>
      <c r="G4" s="118" t="s">
        <v>38</v>
      </c>
      <c r="H4" s="39"/>
    </row>
    <row r="5" spans="1:21" ht="15.75" customHeight="1">
      <c r="B5" s="124"/>
      <c r="C5" s="126"/>
      <c r="D5" s="128"/>
      <c r="E5" s="130"/>
      <c r="F5" s="130"/>
      <c r="G5" s="119"/>
      <c r="H5" s="39"/>
    </row>
    <row r="6" spans="1:21" ht="15.75" customHeight="1">
      <c r="A6" t="str">
        <f t="shared" ref="A6:A89" si="0">G6</f>
        <v>104-10-3</v>
      </c>
      <c r="B6" s="40" t="s">
        <v>15</v>
      </c>
      <c r="C6" s="48" t="s">
        <v>3</v>
      </c>
      <c r="D6" s="54">
        <v>2.92</v>
      </c>
      <c r="E6" s="91">
        <v>3.16</v>
      </c>
      <c r="F6" s="49">
        <f>E6</f>
        <v>3.16</v>
      </c>
      <c r="G6" s="38" t="s">
        <v>20</v>
      </c>
      <c r="H6" s="39" t="s">
        <v>281</v>
      </c>
    </row>
    <row r="7" spans="1:21" ht="15.75" customHeight="1">
      <c r="A7" t="str">
        <f t="shared" ref="A7:A8" si="1">G7</f>
        <v>104-11</v>
      </c>
      <c r="B7" s="40" t="s">
        <v>270</v>
      </c>
      <c r="C7" s="48" t="s">
        <v>3</v>
      </c>
      <c r="D7" s="54">
        <v>16.13</v>
      </c>
      <c r="E7" s="91">
        <v>6.61</v>
      </c>
      <c r="F7" s="49">
        <f t="shared" ref="F7:F70" si="2">E7</f>
        <v>6.61</v>
      </c>
      <c r="G7" s="38" t="s">
        <v>268</v>
      </c>
      <c r="H7" s="39" t="s">
        <v>281</v>
      </c>
    </row>
    <row r="8" spans="1:21" ht="15.75" customHeight="1">
      <c r="A8" t="str">
        <f t="shared" si="1"/>
        <v>104-12</v>
      </c>
      <c r="B8" s="40" t="s">
        <v>271</v>
      </c>
      <c r="C8" s="48" t="s">
        <v>3</v>
      </c>
      <c r="D8" s="54">
        <v>7.11</v>
      </c>
      <c r="E8" s="91">
        <v>9.33</v>
      </c>
      <c r="F8" s="49">
        <f t="shared" si="2"/>
        <v>9.33</v>
      </c>
      <c r="G8" s="38" t="s">
        <v>269</v>
      </c>
      <c r="H8" s="39" t="s">
        <v>281</v>
      </c>
    </row>
    <row r="9" spans="1:21" ht="15.75" customHeight="1">
      <c r="A9" t="str">
        <f t="shared" si="0"/>
        <v>104-15</v>
      </c>
      <c r="B9" s="40" t="s">
        <v>66</v>
      </c>
      <c r="C9" s="48" t="s">
        <v>4</v>
      </c>
      <c r="D9" s="55">
        <v>5050.84</v>
      </c>
      <c r="E9" s="92">
        <v>4316.03</v>
      </c>
      <c r="F9" s="49">
        <f t="shared" si="2"/>
        <v>4316.03</v>
      </c>
      <c r="G9" s="38" t="s">
        <v>70</v>
      </c>
      <c r="H9" s="39" t="s">
        <v>281</v>
      </c>
    </row>
    <row r="10" spans="1:21" ht="15.75" customHeight="1">
      <c r="A10" t="str">
        <f t="shared" si="0"/>
        <v>104-18</v>
      </c>
      <c r="B10" s="40" t="s">
        <v>67</v>
      </c>
      <c r="C10" s="48" t="s">
        <v>4</v>
      </c>
      <c r="D10" s="55">
        <v>151.94999999999999</v>
      </c>
      <c r="E10" s="92">
        <v>166.53</v>
      </c>
      <c r="F10" s="49">
        <f t="shared" si="2"/>
        <v>166.53</v>
      </c>
      <c r="G10" s="38" t="s">
        <v>71</v>
      </c>
      <c r="H10" s="39" t="s">
        <v>281</v>
      </c>
    </row>
    <row r="11" spans="1:21" ht="15.75" customHeight="1">
      <c r="A11" t="str">
        <f t="shared" si="0"/>
        <v>107-1</v>
      </c>
      <c r="B11" s="40" t="s">
        <v>68</v>
      </c>
      <c r="C11" s="48" t="s">
        <v>10</v>
      </c>
      <c r="D11" s="55">
        <v>35.299999999999997</v>
      </c>
      <c r="E11" s="92">
        <v>26.86</v>
      </c>
      <c r="F11" s="49">
        <f t="shared" si="2"/>
        <v>26.86</v>
      </c>
      <c r="G11" s="38" t="s">
        <v>72</v>
      </c>
      <c r="H11" s="39" t="s">
        <v>281</v>
      </c>
    </row>
    <row r="12" spans="1:21" ht="15.75" customHeight="1">
      <c r="A12" t="str">
        <f t="shared" si="0"/>
        <v>107-2</v>
      </c>
      <c r="B12" s="40" t="s">
        <v>69</v>
      </c>
      <c r="C12" s="48" t="s">
        <v>10</v>
      </c>
      <c r="D12" s="55">
        <v>52.16</v>
      </c>
      <c r="E12" s="92">
        <v>34.19</v>
      </c>
      <c r="F12" s="49">
        <f t="shared" si="2"/>
        <v>34.19</v>
      </c>
      <c r="G12" s="38" t="s">
        <v>73</v>
      </c>
      <c r="H12" s="39" t="s">
        <v>281</v>
      </c>
    </row>
    <row r="13" spans="1:21">
      <c r="A13" t="str">
        <f t="shared" si="0"/>
        <v>110-1-1</v>
      </c>
      <c r="B13" s="40" t="s">
        <v>48</v>
      </c>
      <c r="C13" s="48" t="s">
        <v>10</v>
      </c>
      <c r="D13" s="54">
        <v>29365.77</v>
      </c>
      <c r="E13" s="91">
        <v>48194.96</v>
      </c>
      <c r="F13" s="49">
        <f t="shared" si="2"/>
        <v>48194.96</v>
      </c>
      <c r="G13" s="38" t="s">
        <v>19</v>
      </c>
      <c r="H13" s="39" t="s">
        <v>281</v>
      </c>
      <c r="O13" s="17"/>
      <c r="P13" s="17"/>
      <c r="Q13" s="17"/>
      <c r="R13" s="17"/>
      <c r="S13" s="17"/>
      <c r="T13" s="17"/>
      <c r="U13" s="17"/>
    </row>
    <row r="14" spans="1:21">
      <c r="A14" t="str">
        <f t="shared" si="0"/>
        <v>110-3</v>
      </c>
      <c r="B14" s="40" t="s">
        <v>267</v>
      </c>
      <c r="C14" s="48" t="s">
        <v>82</v>
      </c>
      <c r="D14" s="54">
        <v>74.27</v>
      </c>
      <c r="E14" s="91">
        <v>57.26</v>
      </c>
      <c r="F14" s="49">
        <f t="shared" si="2"/>
        <v>57.26</v>
      </c>
      <c r="G14" s="38" t="s">
        <v>266</v>
      </c>
      <c r="H14" s="39" t="s">
        <v>281</v>
      </c>
      <c r="O14" s="17"/>
      <c r="P14" s="17"/>
      <c r="Q14" s="17"/>
      <c r="R14" s="17"/>
      <c r="S14" s="17"/>
      <c r="T14" s="17"/>
      <c r="U14" s="17"/>
    </row>
    <row r="15" spans="1:21">
      <c r="A15" t="str">
        <f t="shared" si="0"/>
        <v>120-1</v>
      </c>
      <c r="B15" s="40" t="s">
        <v>115</v>
      </c>
      <c r="C15" s="48" t="s">
        <v>8</v>
      </c>
      <c r="D15" s="54">
        <v>8.77</v>
      </c>
      <c r="E15" s="91">
        <v>6.93</v>
      </c>
      <c r="F15" s="49">
        <f t="shared" si="2"/>
        <v>6.93</v>
      </c>
      <c r="G15" s="38" t="s">
        <v>22</v>
      </c>
      <c r="H15" s="39" t="s">
        <v>281</v>
      </c>
    </row>
    <row r="16" spans="1:21">
      <c r="A16" t="str">
        <f t="shared" ref="A16" si="3">G16</f>
        <v>120-4</v>
      </c>
      <c r="B16" s="40" t="s">
        <v>265</v>
      </c>
      <c r="C16" s="48" t="s">
        <v>8</v>
      </c>
      <c r="D16" s="54">
        <v>12.87</v>
      </c>
      <c r="E16" s="91">
        <v>21.3</v>
      </c>
      <c r="F16" s="49">
        <f t="shared" si="2"/>
        <v>21.3</v>
      </c>
      <c r="G16" s="38" t="s">
        <v>264</v>
      </c>
      <c r="H16" s="39" t="s">
        <v>281</v>
      </c>
    </row>
    <row r="17" spans="1:9">
      <c r="A17" t="str">
        <f t="shared" si="0"/>
        <v>120-6</v>
      </c>
      <c r="B17" s="40" t="s">
        <v>21</v>
      </c>
      <c r="C17" s="48" t="s">
        <v>8</v>
      </c>
      <c r="D17" s="54">
        <v>10.67</v>
      </c>
      <c r="E17" s="91">
        <v>8.9600000000000009</v>
      </c>
      <c r="F17" s="49">
        <f t="shared" si="2"/>
        <v>8.9600000000000009</v>
      </c>
      <c r="G17" s="38" t="s">
        <v>23</v>
      </c>
      <c r="H17" s="39" t="s">
        <v>281</v>
      </c>
    </row>
    <row r="18" spans="1:9">
      <c r="A18" t="str">
        <f t="shared" si="0"/>
        <v>160-4</v>
      </c>
      <c r="B18" s="40" t="s">
        <v>13</v>
      </c>
      <c r="C18" s="48" t="s">
        <v>9</v>
      </c>
      <c r="D18" s="54">
        <v>12.05</v>
      </c>
      <c r="E18" s="91">
        <v>6.28</v>
      </c>
      <c r="F18" s="49">
        <f t="shared" si="2"/>
        <v>6.28</v>
      </c>
      <c r="G18" s="38" t="s">
        <v>24</v>
      </c>
      <c r="H18" s="39" t="s">
        <v>281</v>
      </c>
    </row>
    <row r="19" spans="1:9">
      <c r="A19" t="str">
        <f t="shared" si="0"/>
        <v>285-709</v>
      </c>
      <c r="B19" s="40" t="s">
        <v>25</v>
      </c>
      <c r="C19" s="48" t="s">
        <v>9</v>
      </c>
      <c r="D19" s="54">
        <v>31.4</v>
      </c>
      <c r="E19" s="91">
        <v>24.08</v>
      </c>
      <c r="F19" s="49">
        <f t="shared" si="2"/>
        <v>24.08</v>
      </c>
      <c r="G19" s="38" t="s">
        <v>263</v>
      </c>
      <c r="H19" s="39" t="s">
        <v>281</v>
      </c>
    </row>
    <row r="20" spans="1:9">
      <c r="A20" t="str">
        <f t="shared" si="0"/>
        <v>327-70-6</v>
      </c>
      <c r="B20" s="40" t="s">
        <v>138</v>
      </c>
      <c r="C20" s="48" t="s">
        <v>9</v>
      </c>
      <c r="D20" s="54">
        <v>3.49</v>
      </c>
      <c r="E20" s="91">
        <v>2.61</v>
      </c>
      <c r="F20" s="49">
        <f t="shared" si="2"/>
        <v>2.61</v>
      </c>
      <c r="G20" s="38" t="s">
        <v>137</v>
      </c>
      <c r="H20" s="39" t="s">
        <v>281</v>
      </c>
    </row>
    <row r="21" spans="1:9">
      <c r="A21" t="str">
        <f t="shared" si="0"/>
        <v>334-1-13</v>
      </c>
      <c r="B21" s="40" t="s">
        <v>262</v>
      </c>
      <c r="C21" s="48" t="s">
        <v>14</v>
      </c>
      <c r="D21" s="54">
        <v>138.87</v>
      </c>
      <c r="E21" s="91">
        <v>140.13</v>
      </c>
      <c r="F21" s="49">
        <f t="shared" si="2"/>
        <v>140.13</v>
      </c>
      <c r="G21" s="38" t="s">
        <v>261</v>
      </c>
      <c r="H21" s="39" t="s">
        <v>281</v>
      </c>
    </row>
    <row r="22" spans="1:9" s="39" customFormat="1" ht="30">
      <c r="A22" t="str">
        <f t="shared" si="0"/>
        <v>337-7-83</v>
      </c>
      <c r="B22" s="37" t="s">
        <v>260</v>
      </c>
      <c r="C22" s="48" t="s">
        <v>14</v>
      </c>
      <c r="D22" s="54">
        <v>172.37</v>
      </c>
      <c r="E22" s="91">
        <v>158.59</v>
      </c>
      <c r="F22" s="49">
        <f t="shared" si="2"/>
        <v>158.59</v>
      </c>
      <c r="G22" s="38" t="s">
        <v>259</v>
      </c>
      <c r="H22" s="39" t="s">
        <v>281</v>
      </c>
      <c r="I22"/>
    </row>
    <row r="23" spans="1:9">
      <c r="A23" t="str">
        <f t="shared" si="0"/>
        <v>400-0-11</v>
      </c>
      <c r="B23" s="37" t="s">
        <v>44</v>
      </c>
      <c r="C23" s="48" t="s">
        <v>8</v>
      </c>
      <c r="D23" s="54">
        <v>1478.85</v>
      </c>
      <c r="E23" s="91">
        <v>922.9</v>
      </c>
      <c r="F23" s="49">
        <f t="shared" si="2"/>
        <v>922.9</v>
      </c>
      <c r="G23" s="41" t="s">
        <v>50</v>
      </c>
      <c r="H23" s="39" t="s">
        <v>281</v>
      </c>
    </row>
    <row r="24" spans="1:9">
      <c r="A24" t="str">
        <f t="shared" ref="A24:A25" si="4">G24</f>
        <v>400-2-10</v>
      </c>
      <c r="B24" s="37" t="s">
        <v>257</v>
      </c>
      <c r="C24" s="48" t="s">
        <v>8</v>
      </c>
      <c r="D24" s="54">
        <v>767.09</v>
      </c>
      <c r="E24" s="91">
        <v>998.6</v>
      </c>
      <c r="F24" s="49">
        <f t="shared" si="2"/>
        <v>998.6</v>
      </c>
      <c r="G24" s="41" t="s">
        <v>255</v>
      </c>
      <c r="H24" s="39" t="s">
        <v>281</v>
      </c>
    </row>
    <row r="25" spans="1:9">
      <c r="A25" t="str">
        <f t="shared" si="4"/>
        <v>400-4-1</v>
      </c>
      <c r="B25" s="37" t="s">
        <v>258</v>
      </c>
      <c r="C25" s="48" t="s">
        <v>8</v>
      </c>
      <c r="D25" s="54">
        <v>1850</v>
      </c>
      <c r="E25" s="91">
        <v>1873.55</v>
      </c>
      <c r="F25" s="49">
        <f t="shared" si="2"/>
        <v>1873.55</v>
      </c>
      <c r="G25" s="41" t="s">
        <v>256</v>
      </c>
      <c r="H25" s="39" t="s">
        <v>281</v>
      </c>
    </row>
    <row r="26" spans="1:9">
      <c r="A26" t="str">
        <f t="shared" si="0"/>
        <v>415-1-1</v>
      </c>
      <c r="B26" s="40" t="s">
        <v>254</v>
      </c>
      <c r="C26" s="48" t="s">
        <v>252</v>
      </c>
      <c r="D26" s="54">
        <v>0.25</v>
      </c>
      <c r="E26" s="91">
        <v>1.39</v>
      </c>
      <c r="F26" s="49">
        <f t="shared" si="2"/>
        <v>1.39</v>
      </c>
      <c r="G26" s="38" t="s">
        <v>253</v>
      </c>
      <c r="H26" s="39" t="s">
        <v>281</v>
      </c>
    </row>
    <row r="27" spans="1:9">
      <c r="A27" t="str">
        <f t="shared" ref="A27" si="5">G27</f>
        <v>415-1-9</v>
      </c>
      <c r="B27" s="40" t="s">
        <v>251</v>
      </c>
      <c r="C27" s="48" t="s">
        <v>252</v>
      </c>
      <c r="D27" s="54">
        <v>1.2</v>
      </c>
      <c r="E27" s="91">
        <v>1.45</v>
      </c>
      <c r="F27" s="49">
        <f t="shared" si="2"/>
        <v>1.45</v>
      </c>
      <c r="G27" s="38" t="s">
        <v>250</v>
      </c>
      <c r="H27" s="39" t="s">
        <v>281</v>
      </c>
    </row>
    <row r="28" spans="1:9">
      <c r="A28" t="str">
        <f t="shared" si="0"/>
        <v>425-1-361</v>
      </c>
      <c r="B28" s="40" t="s">
        <v>249</v>
      </c>
      <c r="C28" s="48" t="s">
        <v>4</v>
      </c>
      <c r="D28" s="54">
        <v>10577.62</v>
      </c>
      <c r="E28" s="91">
        <v>9933.6200000000008</v>
      </c>
      <c r="F28" s="49">
        <f t="shared" si="2"/>
        <v>9933.6200000000008</v>
      </c>
      <c r="G28" s="38" t="s">
        <v>248</v>
      </c>
      <c r="H28" s="39" t="s">
        <v>281</v>
      </c>
    </row>
    <row r="29" spans="1:9">
      <c r="A29" t="str">
        <f t="shared" si="0"/>
        <v>425-1-541</v>
      </c>
      <c r="B29" s="40" t="s">
        <v>246</v>
      </c>
      <c r="C29" s="48" t="s">
        <v>4</v>
      </c>
      <c r="D29" s="54">
        <v>6975.24</v>
      </c>
      <c r="E29" s="91">
        <v>7367.27</v>
      </c>
      <c r="F29" s="49">
        <f t="shared" si="2"/>
        <v>7367.27</v>
      </c>
      <c r="G29" s="38" t="s">
        <v>245</v>
      </c>
      <c r="H29" s="39" t="s">
        <v>281</v>
      </c>
    </row>
    <row r="30" spans="1:9">
      <c r="A30" t="str">
        <f t="shared" ref="A30" si="6">G30</f>
        <v>425-2-71</v>
      </c>
      <c r="B30" s="40" t="s">
        <v>244</v>
      </c>
      <c r="C30" s="48" t="s">
        <v>3</v>
      </c>
      <c r="D30" s="54">
        <v>11188.33</v>
      </c>
      <c r="E30" s="91">
        <v>11394.28</v>
      </c>
      <c r="F30" s="49">
        <f t="shared" si="2"/>
        <v>11394.28</v>
      </c>
      <c r="G30" s="38" t="s">
        <v>247</v>
      </c>
      <c r="H30" s="39" t="s">
        <v>281</v>
      </c>
    </row>
    <row r="31" spans="1:9">
      <c r="A31" t="str">
        <f t="shared" si="0"/>
        <v>430-175-124</v>
      </c>
      <c r="B31" s="40" t="s">
        <v>234</v>
      </c>
      <c r="C31" s="48" t="s">
        <v>3</v>
      </c>
      <c r="D31" s="54">
        <v>169.55</v>
      </c>
      <c r="E31" s="91">
        <v>122.61</v>
      </c>
      <c r="F31" s="49">
        <f t="shared" si="2"/>
        <v>122.61</v>
      </c>
      <c r="G31" s="38" t="s">
        <v>235</v>
      </c>
      <c r="H31" s="39" t="s">
        <v>281</v>
      </c>
    </row>
    <row r="32" spans="1:9">
      <c r="A32" t="str">
        <f t="shared" si="0"/>
        <v>430-175-130</v>
      </c>
      <c r="B32" s="40" t="s">
        <v>237</v>
      </c>
      <c r="C32" s="48" t="s">
        <v>3</v>
      </c>
      <c r="D32" s="54">
        <v>232.92</v>
      </c>
      <c r="E32" s="91">
        <v>167.86</v>
      </c>
      <c r="F32" s="49">
        <f t="shared" si="2"/>
        <v>167.86</v>
      </c>
      <c r="G32" s="38" t="s">
        <v>236</v>
      </c>
      <c r="H32" s="39" t="s">
        <v>281</v>
      </c>
    </row>
    <row r="33" spans="1:8">
      <c r="A33" t="str">
        <f t="shared" ref="A33:A35" si="7">G33</f>
        <v>430-175-136</v>
      </c>
      <c r="B33" s="40" t="s">
        <v>241</v>
      </c>
      <c r="C33" s="48" t="s">
        <v>3</v>
      </c>
      <c r="D33" s="54">
        <v>268.87</v>
      </c>
      <c r="E33" s="91">
        <v>202.26</v>
      </c>
      <c r="F33" s="49">
        <f t="shared" si="2"/>
        <v>202.26</v>
      </c>
      <c r="G33" s="38" t="s">
        <v>238</v>
      </c>
      <c r="H33" s="39" t="s">
        <v>281</v>
      </c>
    </row>
    <row r="34" spans="1:8">
      <c r="A34" t="str">
        <f t="shared" si="7"/>
        <v>430-175-142</v>
      </c>
      <c r="B34" s="40" t="s">
        <v>242</v>
      </c>
      <c r="C34" s="48" t="s">
        <v>3</v>
      </c>
      <c r="D34" s="54">
        <v>434.73</v>
      </c>
      <c r="E34" s="91">
        <v>217.93</v>
      </c>
      <c r="F34" s="49">
        <f t="shared" si="2"/>
        <v>217.93</v>
      </c>
      <c r="G34" s="38" t="s">
        <v>239</v>
      </c>
      <c r="H34" s="39" t="s">
        <v>281</v>
      </c>
    </row>
    <row r="35" spans="1:8">
      <c r="A35" t="str">
        <f t="shared" si="7"/>
        <v>430-175-160</v>
      </c>
      <c r="B35" s="40" t="s">
        <v>243</v>
      </c>
      <c r="C35" s="48" t="s">
        <v>3</v>
      </c>
      <c r="D35" s="54">
        <v>673</v>
      </c>
      <c r="E35" s="91">
        <v>489.33</v>
      </c>
      <c r="F35" s="49">
        <f t="shared" si="2"/>
        <v>489.33</v>
      </c>
      <c r="G35" s="38" t="s">
        <v>240</v>
      </c>
      <c r="H35" s="39" t="s">
        <v>281</v>
      </c>
    </row>
    <row r="36" spans="1:8">
      <c r="A36" t="str">
        <f t="shared" si="0"/>
        <v>430-984-129</v>
      </c>
      <c r="B36" s="40" t="s">
        <v>232</v>
      </c>
      <c r="C36" s="48" t="s">
        <v>4</v>
      </c>
      <c r="D36" s="54">
        <v>3788.78</v>
      </c>
      <c r="E36" s="91">
        <v>3439.63</v>
      </c>
      <c r="F36" s="49">
        <f t="shared" si="2"/>
        <v>3439.63</v>
      </c>
      <c r="G36" s="38" t="s">
        <v>233</v>
      </c>
      <c r="H36" s="39" t="s">
        <v>281</v>
      </c>
    </row>
    <row r="37" spans="1:8">
      <c r="A37" t="str">
        <f t="shared" ref="A37" si="8">G37</f>
        <v>515-2-111</v>
      </c>
      <c r="B37" s="40" t="s">
        <v>231</v>
      </c>
      <c r="C37" s="48" t="s">
        <v>3</v>
      </c>
      <c r="D37" s="54">
        <v>80</v>
      </c>
      <c r="E37" s="91">
        <v>82.46</v>
      </c>
      <c r="F37" s="49">
        <f t="shared" si="2"/>
        <v>82.46</v>
      </c>
      <c r="G37" s="38" t="s">
        <v>230</v>
      </c>
      <c r="H37" s="39" t="s">
        <v>281</v>
      </c>
    </row>
    <row r="38" spans="1:8">
      <c r="A38" t="str">
        <f t="shared" si="0"/>
        <v>520-1-7</v>
      </c>
      <c r="B38" s="40" t="s">
        <v>33</v>
      </c>
      <c r="C38" s="48" t="s">
        <v>3</v>
      </c>
      <c r="D38" s="54">
        <v>52.29</v>
      </c>
      <c r="E38" s="91">
        <v>36.9</v>
      </c>
      <c r="F38" s="49">
        <f t="shared" si="2"/>
        <v>36.9</v>
      </c>
      <c r="G38" s="38" t="s">
        <v>34</v>
      </c>
      <c r="H38" s="39" t="s">
        <v>281</v>
      </c>
    </row>
    <row r="39" spans="1:8">
      <c r="A39" t="str">
        <f t="shared" si="0"/>
        <v>520-1-10</v>
      </c>
      <c r="B39" s="40" t="s">
        <v>32</v>
      </c>
      <c r="C39" s="48" t="s">
        <v>3</v>
      </c>
      <c r="D39" s="54">
        <v>65.17</v>
      </c>
      <c r="E39" s="91">
        <v>40.29</v>
      </c>
      <c r="F39" s="49">
        <f t="shared" si="2"/>
        <v>40.29</v>
      </c>
      <c r="G39" s="38" t="s">
        <v>35</v>
      </c>
      <c r="H39" s="39" t="s">
        <v>281</v>
      </c>
    </row>
    <row r="40" spans="1:8">
      <c r="A40" t="str">
        <f t="shared" si="0"/>
        <v>520-2-4</v>
      </c>
      <c r="B40" s="37" t="s">
        <v>45</v>
      </c>
      <c r="C40" s="48" t="s">
        <v>3</v>
      </c>
      <c r="D40" s="54">
        <v>71.22</v>
      </c>
      <c r="E40" s="91">
        <v>43.14</v>
      </c>
      <c r="F40" s="49">
        <f t="shared" si="2"/>
        <v>43.14</v>
      </c>
      <c r="G40" s="38" t="s">
        <v>51</v>
      </c>
      <c r="H40" s="39" t="s">
        <v>281</v>
      </c>
    </row>
    <row r="41" spans="1:8">
      <c r="A41" t="str">
        <f t="shared" si="0"/>
        <v>520-2-8</v>
      </c>
      <c r="B41" s="37" t="s">
        <v>64</v>
      </c>
      <c r="C41" s="48" t="s">
        <v>3</v>
      </c>
      <c r="D41" s="54">
        <v>51.55</v>
      </c>
      <c r="E41" s="91">
        <v>47.32</v>
      </c>
      <c r="F41" s="49">
        <f t="shared" si="2"/>
        <v>47.32</v>
      </c>
      <c r="G41" s="38" t="s">
        <v>65</v>
      </c>
      <c r="H41" s="39" t="s">
        <v>281</v>
      </c>
    </row>
    <row r="42" spans="1:8">
      <c r="A42" t="str">
        <f t="shared" si="0"/>
        <v>520-5-11</v>
      </c>
      <c r="B42" s="40" t="s">
        <v>40</v>
      </c>
      <c r="C42" s="48" t="s">
        <v>3</v>
      </c>
      <c r="D42" s="54">
        <v>156.30000000000001</v>
      </c>
      <c r="E42" s="91">
        <v>74.52</v>
      </c>
      <c r="F42" s="49">
        <f t="shared" si="2"/>
        <v>74.52</v>
      </c>
      <c r="G42" s="38" t="s">
        <v>41</v>
      </c>
      <c r="H42" s="39" t="s">
        <v>281</v>
      </c>
    </row>
    <row r="43" spans="1:8">
      <c r="A43" t="str">
        <f t="shared" si="0"/>
        <v>520-5-12</v>
      </c>
      <c r="B43" s="40" t="s">
        <v>46</v>
      </c>
      <c r="C43" s="48" t="s">
        <v>3</v>
      </c>
      <c r="D43" s="54">
        <v>222.65</v>
      </c>
      <c r="E43" s="91">
        <v>128.84</v>
      </c>
      <c r="F43" s="49">
        <f t="shared" si="2"/>
        <v>128.84</v>
      </c>
      <c r="G43" s="38" t="s">
        <v>47</v>
      </c>
      <c r="H43" s="39" t="s">
        <v>281</v>
      </c>
    </row>
    <row r="44" spans="1:8">
      <c r="A44" t="str">
        <f t="shared" si="0"/>
        <v>520-70</v>
      </c>
      <c r="B44" s="40" t="s">
        <v>52</v>
      </c>
      <c r="C44" s="74" t="s">
        <v>9</v>
      </c>
      <c r="D44" s="54">
        <v>281.67</v>
      </c>
      <c r="E44" s="91">
        <v>151.31</v>
      </c>
      <c r="F44" s="49">
        <f t="shared" si="2"/>
        <v>151.31</v>
      </c>
      <c r="G44" s="38" t="s">
        <v>53</v>
      </c>
      <c r="H44" s="39" t="s">
        <v>281</v>
      </c>
    </row>
    <row r="45" spans="1:8">
      <c r="A45" t="str">
        <f t="shared" ref="A45" si="9">G45</f>
        <v>521-72-40</v>
      </c>
      <c r="B45" s="42" t="s">
        <v>227</v>
      </c>
      <c r="C45" s="72" t="s">
        <v>3</v>
      </c>
      <c r="D45" s="75">
        <v>379</v>
      </c>
      <c r="E45" s="93">
        <v>400.04</v>
      </c>
      <c r="F45" s="49">
        <f t="shared" si="2"/>
        <v>400.04</v>
      </c>
      <c r="G45" s="73" t="s">
        <v>228</v>
      </c>
      <c r="H45" s="39" t="s">
        <v>281</v>
      </c>
    </row>
    <row r="46" spans="1:8">
      <c r="A46" t="str">
        <f t="shared" si="0"/>
        <v>522-1</v>
      </c>
      <c r="B46" s="40" t="s">
        <v>16</v>
      </c>
      <c r="C46" s="48" t="s">
        <v>9</v>
      </c>
      <c r="D46" s="54">
        <v>64.900000000000006</v>
      </c>
      <c r="E46" s="91">
        <v>69.61</v>
      </c>
      <c r="F46" s="49">
        <f t="shared" si="2"/>
        <v>69.61</v>
      </c>
      <c r="G46" s="38" t="s">
        <v>63</v>
      </c>
      <c r="H46" s="39" t="s">
        <v>281</v>
      </c>
    </row>
    <row r="47" spans="1:8">
      <c r="A47" t="str">
        <f t="shared" si="0"/>
        <v>522-2</v>
      </c>
      <c r="B47" s="40" t="s">
        <v>141</v>
      </c>
      <c r="C47" s="48" t="s">
        <v>9</v>
      </c>
      <c r="D47" s="54">
        <v>101.16</v>
      </c>
      <c r="E47" s="91">
        <v>93.28</v>
      </c>
      <c r="F47" s="49">
        <f t="shared" si="2"/>
        <v>93.28</v>
      </c>
      <c r="G47" s="38" t="s">
        <v>142</v>
      </c>
      <c r="H47" s="39" t="s">
        <v>281</v>
      </c>
    </row>
    <row r="48" spans="1:8">
      <c r="A48" t="str">
        <f t="shared" si="0"/>
        <v>527-2</v>
      </c>
      <c r="B48" s="40" t="s">
        <v>81</v>
      </c>
      <c r="C48" s="48" t="s">
        <v>82</v>
      </c>
      <c r="D48" s="54">
        <v>41.19</v>
      </c>
      <c r="E48" s="91">
        <v>36.28</v>
      </c>
      <c r="F48" s="49">
        <f t="shared" si="2"/>
        <v>36.28</v>
      </c>
      <c r="G48" s="38" t="s">
        <v>83</v>
      </c>
      <c r="H48" s="39" t="s">
        <v>281</v>
      </c>
    </row>
    <row r="49" spans="1:8">
      <c r="A49" t="str">
        <f t="shared" si="0"/>
        <v>536-1-0</v>
      </c>
      <c r="B49" s="40" t="s">
        <v>148</v>
      </c>
      <c r="C49" s="48" t="s">
        <v>3</v>
      </c>
      <c r="D49" s="54">
        <v>25.82</v>
      </c>
      <c r="E49" s="91">
        <v>23</v>
      </c>
      <c r="F49" s="49">
        <f t="shared" si="2"/>
        <v>23</v>
      </c>
      <c r="G49" s="38" t="s">
        <v>144</v>
      </c>
      <c r="H49" s="39" t="s">
        <v>281</v>
      </c>
    </row>
    <row r="50" spans="1:8">
      <c r="A50" t="str">
        <f t="shared" si="0"/>
        <v>536-73</v>
      </c>
      <c r="B50" s="40" t="s">
        <v>149</v>
      </c>
      <c r="C50" s="48" t="s">
        <v>3</v>
      </c>
      <c r="D50" s="54">
        <v>3.19</v>
      </c>
      <c r="E50" s="91">
        <v>1.33</v>
      </c>
      <c r="F50" s="49">
        <f t="shared" si="2"/>
        <v>1.33</v>
      </c>
      <c r="G50" s="38" t="s">
        <v>145</v>
      </c>
      <c r="H50" s="39" t="s">
        <v>281</v>
      </c>
    </row>
    <row r="51" spans="1:8">
      <c r="A51" t="str">
        <f t="shared" si="0"/>
        <v>536-85-20</v>
      </c>
      <c r="B51" s="40" t="s">
        <v>150</v>
      </c>
      <c r="C51" s="48" t="s">
        <v>4</v>
      </c>
      <c r="D51" s="54">
        <v>1411.57</v>
      </c>
      <c r="E51" s="91">
        <v>1553.53</v>
      </c>
      <c r="F51" s="49">
        <f t="shared" si="2"/>
        <v>1553.53</v>
      </c>
      <c r="G51" s="38" t="s">
        <v>146</v>
      </c>
      <c r="H51" s="39" t="s">
        <v>281</v>
      </c>
    </row>
    <row r="52" spans="1:8">
      <c r="A52" t="str">
        <f t="shared" si="0"/>
        <v>536-85-24</v>
      </c>
      <c r="B52" s="40" t="s">
        <v>151</v>
      </c>
      <c r="C52" s="48" t="s">
        <v>4</v>
      </c>
      <c r="D52" s="54">
        <v>3288.07</v>
      </c>
      <c r="E52" s="91">
        <v>3190.67</v>
      </c>
      <c r="F52" s="49">
        <f t="shared" si="2"/>
        <v>3190.67</v>
      </c>
      <c r="G52" s="38" t="s">
        <v>147</v>
      </c>
      <c r="H52" s="39" t="s">
        <v>281</v>
      </c>
    </row>
    <row r="53" spans="1:8">
      <c r="A53" t="str">
        <f t="shared" si="0"/>
        <v>550-10-220</v>
      </c>
      <c r="B53" s="40" t="s">
        <v>225</v>
      </c>
      <c r="C53" s="48" t="s">
        <v>3</v>
      </c>
      <c r="D53" s="54">
        <v>19.48</v>
      </c>
      <c r="E53" s="91">
        <v>21.54</v>
      </c>
      <c r="F53" s="49">
        <f t="shared" si="2"/>
        <v>21.54</v>
      </c>
      <c r="G53" s="38" t="s">
        <v>223</v>
      </c>
      <c r="H53" s="39" t="s">
        <v>281</v>
      </c>
    </row>
    <row r="54" spans="1:8">
      <c r="A54" t="str">
        <f t="shared" si="0"/>
        <v>550-60-234</v>
      </c>
      <c r="B54" s="40" t="s">
        <v>226</v>
      </c>
      <c r="C54" s="48" t="s">
        <v>4</v>
      </c>
      <c r="D54" s="54">
        <v>5000</v>
      </c>
      <c r="E54" s="91"/>
      <c r="F54" s="49">
        <f>D54</f>
        <v>5000</v>
      </c>
      <c r="G54" s="38" t="s">
        <v>224</v>
      </c>
      <c r="H54" s="39" t="s">
        <v>282</v>
      </c>
    </row>
    <row r="55" spans="1:8">
      <c r="A55" t="str">
        <f t="shared" si="0"/>
        <v>570-1-1</v>
      </c>
      <c r="B55" s="40" t="s">
        <v>30</v>
      </c>
      <c r="C55" s="48" t="s">
        <v>9</v>
      </c>
      <c r="D55" s="54">
        <v>4.03</v>
      </c>
      <c r="E55" s="91">
        <v>2.11</v>
      </c>
      <c r="F55" s="49">
        <f t="shared" si="2"/>
        <v>2.11</v>
      </c>
      <c r="G55" s="38" t="s">
        <v>31</v>
      </c>
      <c r="H55" s="39" t="s">
        <v>281</v>
      </c>
    </row>
    <row r="56" spans="1:8">
      <c r="A56" t="str">
        <f t="shared" si="0"/>
        <v>630-2-11</v>
      </c>
      <c r="B56" s="40" t="s">
        <v>28</v>
      </c>
      <c r="C56" s="48" t="s">
        <v>3</v>
      </c>
      <c r="D56" s="54">
        <v>20.27</v>
      </c>
      <c r="E56" s="91">
        <v>16.079999999999998</v>
      </c>
      <c r="F56" s="49">
        <f t="shared" si="2"/>
        <v>16.079999999999998</v>
      </c>
      <c r="G56" s="38" t="s">
        <v>29</v>
      </c>
      <c r="H56" s="39" t="s">
        <v>281</v>
      </c>
    </row>
    <row r="57" spans="1:8">
      <c r="A57" t="str">
        <f t="shared" si="0"/>
        <v>630-2-12</v>
      </c>
      <c r="B57" s="40" t="s">
        <v>84</v>
      </c>
      <c r="C57" s="48" t="s">
        <v>3</v>
      </c>
      <c r="D57" s="54">
        <v>42.41</v>
      </c>
      <c r="E57" s="91">
        <v>38.26</v>
      </c>
      <c r="F57" s="49">
        <f t="shared" si="2"/>
        <v>38.26</v>
      </c>
      <c r="G57" s="38" t="s">
        <v>85</v>
      </c>
      <c r="H57" s="39" t="s">
        <v>281</v>
      </c>
    </row>
    <row r="58" spans="1:8">
      <c r="A58" t="str">
        <f t="shared" ref="A58" si="10">G58</f>
        <v>630-2-15</v>
      </c>
      <c r="B58" s="40" t="s">
        <v>221</v>
      </c>
      <c r="C58" s="48" t="s">
        <v>3</v>
      </c>
      <c r="D58" s="54">
        <v>76.28</v>
      </c>
      <c r="E58" s="91">
        <v>65.58</v>
      </c>
      <c r="F58" s="49">
        <f t="shared" si="2"/>
        <v>65.58</v>
      </c>
      <c r="G58" s="38" t="s">
        <v>222</v>
      </c>
      <c r="H58" s="39" t="s">
        <v>281</v>
      </c>
    </row>
    <row r="59" spans="1:8">
      <c r="A59" t="str">
        <f t="shared" si="0"/>
        <v>632-7-1</v>
      </c>
      <c r="B59" s="40" t="s">
        <v>57</v>
      </c>
      <c r="C59" s="48" t="s">
        <v>56</v>
      </c>
      <c r="D59" s="54">
        <v>11619.02</v>
      </c>
      <c r="E59" s="91">
        <v>11445.79</v>
      </c>
      <c r="F59" s="49">
        <f t="shared" si="2"/>
        <v>11445.79</v>
      </c>
      <c r="G59" s="38" t="s">
        <v>58</v>
      </c>
      <c r="H59" s="39" t="s">
        <v>281</v>
      </c>
    </row>
    <row r="60" spans="1:8">
      <c r="A60" t="str">
        <f t="shared" si="0"/>
        <v>633-1-121</v>
      </c>
      <c r="B60" s="40" t="s">
        <v>214</v>
      </c>
      <c r="C60" s="48" t="s">
        <v>3</v>
      </c>
      <c r="D60" s="54">
        <v>5.15</v>
      </c>
      <c r="E60" s="91">
        <v>4.72</v>
      </c>
      <c r="F60" s="49">
        <f t="shared" si="2"/>
        <v>4.72</v>
      </c>
      <c r="G60" s="38" t="s">
        <v>207</v>
      </c>
      <c r="H60" s="39" t="s">
        <v>281</v>
      </c>
    </row>
    <row r="61" spans="1:8">
      <c r="A61" t="str">
        <f t="shared" si="0"/>
        <v>633-1-122</v>
      </c>
      <c r="B61" s="40" t="s">
        <v>215</v>
      </c>
      <c r="C61" s="48" t="s">
        <v>3</v>
      </c>
      <c r="D61" s="54">
        <v>4.2300000000000004</v>
      </c>
      <c r="E61" s="91">
        <v>4.3899999999999997</v>
      </c>
      <c r="F61" s="49">
        <f t="shared" si="2"/>
        <v>4.3899999999999997</v>
      </c>
      <c r="G61" s="38" t="s">
        <v>208</v>
      </c>
      <c r="H61" s="39" t="s">
        <v>281</v>
      </c>
    </row>
    <row r="62" spans="1:8">
      <c r="A62" t="str">
        <f t="shared" si="0"/>
        <v>633-1-123</v>
      </c>
      <c r="B62" s="40" t="s">
        <v>216</v>
      </c>
      <c r="C62" s="48" t="s">
        <v>3</v>
      </c>
      <c r="D62" s="54">
        <v>4.8499999999999996</v>
      </c>
      <c r="E62" s="91">
        <v>5.81</v>
      </c>
      <c r="F62" s="49">
        <f t="shared" si="2"/>
        <v>5.81</v>
      </c>
      <c r="G62" s="38" t="s">
        <v>209</v>
      </c>
      <c r="H62" s="39" t="s">
        <v>281</v>
      </c>
    </row>
    <row r="63" spans="1:8">
      <c r="A63" t="str">
        <f t="shared" si="0"/>
        <v>633-1-124</v>
      </c>
      <c r="B63" s="40" t="s">
        <v>217</v>
      </c>
      <c r="C63" s="48" t="s">
        <v>3</v>
      </c>
      <c r="D63" s="54">
        <v>6.14</v>
      </c>
      <c r="E63" s="91">
        <v>5.61</v>
      </c>
      <c r="F63" s="49">
        <f t="shared" si="2"/>
        <v>5.61</v>
      </c>
      <c r="G63" s="38" t="s">
        <v>210</v>
      </c>
      <c r="H63" s="39" t="s">
        <v>281</v>
      </c>
    </row>
    <row r="64" spans="1:8">
      <c r="A64" t="str">
        <f t="shared" si="0"/>
        <v>633-2-31</v>
      </c>
      <c r="B64" s="40" t="s">
        <v>218</v>
      </c>
      <c r="C64" s="48" t="s">
        <v>4</v>
      </c>
      <c r="D64" s="54">
        <v>65.180000000000007</v>
      </c>
      <c r="E64" s="91">
        <v>57.84</v>
      </c>
      <c r="F64" s="49">
        <f t="shared" si="2"/>
        <v>57.84</v>
      </c>
      <c r="G64" s="38" t="s">
        <v>211</v>
      </c>
      <c r="H64" s="39" t="s">
        <v>281</v>
      </c>
    </row>
    <row r="65" spans="1:8">
      <c r="A65" t="str">
        <f t="shared" si="0"/>
        <v>633-3-11</v>
      </c>
      <c r="B65" s="40" t="s">
        <v>220</v>
      </c>
      <c r="C65" s="48" t="s">
        <v>4</v>
      </c>
      <c r="D65" s="54">
        <v>1769.64</v>
      </c>
      <c r="E65" s="91">
        <v>1672.36</v>
      </c>
      <c r="F65" s="49">
        <f t="shared" si="2"/>
        <v>1672.36</v>
      </c>
      <c r="G65" s="38" t="s">
        <v>212</v>
      </c>
      <c r="H65" s="39" t="s">
        <v>281</v>
      </c>
    </row>
    <row r="66" spans="1:8">
      <c r="A66" t="str">
        <f t="shared" si="0"/>
        <v>633-3-15</v>
      </c>
      <c r="B66" s="40" t="s">
        <v>219</v>
      </c>
      <c r="C66" s="48" t="s">
        <v>4</v>
      </c>
      <c r="D66" s="54">
        <v>2276.09</v>
      </c>
      <c r="E66" s="91">
        <v>2392.0700000000002</v>
      </c>
      <c r="F66" s="49">
        <f t="shared" si="2"/>
        <v>2392.0700000000002</v>
      </c>
      <c r="G66" s="38" t="s">
        <v>213</v>
      </c>
      <c r="H66" s="39" t="s">
        <v>281</v>
      </c>
    </row>
    <row r="67" spans="1:8">
      <c r="A67" t="str">
        <f t="shared" si="0"/>
        <v>635-2-11</v>
      </c>
      <c r="B67" s="37" t="s">
        <v>203</v>
      </c>
      <c r="C67" s="48" t="s">
        <v>4</v>
      </c>
      <c r="D67" s="54">
        <v>1585.17</v>
      </c>
      <c r="E67" s="91">
        <v>1496.85</v>
      </c>
      <c r="F67" s="49">
        <f t="shared" si="2"/>
        <v>1496.85</v>
      </c>
      <c r="G67" s="38" t="s">
        <v>49</v>
      </c>
      <c r="H67" s="39" t="s">
        <v>281</v>
      </c>
    </row>
    <row r="68" spans="1:8">
      <c r="A68" t="str">
        <f t="shared" ref="A68:A70" si="11">G68</f>
        <v>635-2-12</v>
      </c>
      <c r="B68" s="37" t="s">
        <v>204</v>
      </c>
      <c r="C68" s="48" t="s">
        <v>4</v>
      </c>
      <c r="D68" s="54">
        <v>3544.45</v>
      </c>
      <c r="E68" s="91">
        <v>2823.58</v>
      </c>
      <c r="F68" s="49">
        <f t="shared" si="2"/>
        <v>2823.58</v>
      </c>
      <c r="G68" s="38" t="s">
        <v>200</v>
      </c>
      <c r="H68" s="39" t="s">
        <v>281</v>
      </c>
    </row>
    <row r="69" spans="1:8">
      <c r="A69" t="str">
        <f t="shared" si="11"/>
        <v>635-2-13</v>
      </c>
      <c r="B69" s="37" t="s">
        <v>205</v>
      </c>
      <c r="C69" s="48" t="s">
        <v>4</v>
      </c>
      <c r="D69" s="54">
        <v>6748.93</v>
      </c>
      <c r="E69" s="91">
        <v>6224.58</v>
      </c>
      <c r="F69" s="49">
        <f t="shared" si="2"/>
        <v>6224.58</v>
      </c>
      <c r="G69" s="38" t="s">
        <v>201</v>
      </c>
      <c r="H69" s="39" t="s">
        <v>281</v>
      </c>
    </row>
    <row r="70" spans="1:8">
      <c r="A70" t="str">
        <f t="shared" si="11"/>
        <v>635-3-12</v>
      </c>
      <c r="B70" s="37" t="s">
        <v>206</v>
      </c>
      <c r="C70" s="48" t="s">
        <v>4</v>
      </c>
      <c r="D70" s="54">
        <v>1571.63</v>
      </c>
      <c r="E70" s="91">
        <v>854.7</v>
      </c>
      <c r="F70" s="49">
        <f t="shared" si="2"/>
        <v>854.7</v>
      </c>
      <c r="G70" s="38" t="s">
        <v>202</v>
      </c>
      <c r="H70" s="39" t="s">
        <v>281</v>
      </c>
    </row>
    <row r="71" spans="1:8" ht="30">
      <c r="A71" t="str">
        <f t="shared" ref="A71" si="12">G71</f>
        <v>639-1-112</v>
      </c>
      <c r="B71" s="37" t="s">
        <v>198</v>
      </c>
      <c r="C71" s="48" t="s">
        <v>197</v>
      </c>
      <c r="D71" s="54">
        <v>7201.56</v>
      </c>
      <c r="E71" s="91">
        <v>6532.49</v>
      </c>
      <c r="F71" s="49">
        <f t="shared" ref="F71:F124" si="13">E71</f>
        <v>6532.49</v>
      </c>
      <c r="G71" s="38" t="s">
        <v>196</v>
      </c>
      <c r="H71" s="39" t="s">
        <v>281</v>
      </c>
    </row>
    <row r="72" spans="1:8" ht="30">
      <c r="A72" t="str">
        <f t="shared" si="0"/>
        <v>639-1-121</v>
      </c>
      <c r="B72" s="37" t="s">
        <v>199</v>
      </c>
      <c r="C72" s="48" t="s">
        <v>197</v>
      </c>
      <c r="D72" s="54">
        <v>8688</v>
      </c>
      <c r="E72" s="91">
        <v>7453.81</v>
      </c>
      <c r="F72" s="49">
        <f t="shared" si="13"/>
        <v>7453.81</v>
      </c>
      <c r="G72" s="38" t="s">
        <v>195</v>
      </c>
      <c r="H72" s="39" t="s">
        <v>281</v>
      </c>
    </row>
    <row r="73" spans="1:8">
      <c r="A73" t="str">
        <f t="shared" si="0"/>
        <v>639-2-1</v>
      </c>
      <c r="B73" s="37" t="s">
        <v>129</v>
      </c>
      <c r="C73" s="48" t="s">
        <v>3</v>
      </c>
      <c r="D73" s="54">
        <v>20.440000000000001</v>
      </c>
      <c r="E73" s="91">
        <v>11.77</v>
      </c>
      <c r="F73" s="49">
        <f t="shared" si="13"/>
        <v>11.77</v>
      </c>
      <c r="G73" s="38" t="s">
        <v>131</v>
      </c>
      <c r="H73" s="39" t="s">
        <v>281</v>
      </c>
    </row>
    <row r="74" spans="1:8">
      <c r="A74" t="str">
        <f t="shared" si="0"/>
        <v>639-3-11</v>
      </c>
      <c r="B74" s="37" t="s">
        <v>130</v>
      </c>
      <c r="C74" s="48" t="s">
        <v>4</v>
      </c>
      <c r="D74" s="54">
        <v>2941.07</v>
      </c>
      <c r="E74" s="91">
        <v>2655.47</v>
      </c>
      <c r="F74" s="49">
        <f t="shared" si="13"/>
        <v>2655.47</v>
      </c>
      <c r="G74" s="38" t="s">
        <v>132</v>
      </c>
      <c r="H74" s="39" t="s">
        <v>281</v>
      </c>
    </row>
    <row r="75" spans="1:8">
      <c r="A75" t="str">
        <f t="shared" si="0"/>
        <v>641-2-12</v>
      </c>
      <c r="B75" s="37" t="s">
        <v>127</v>
      </c>
      <c r="C75" s="48" t="s">
        <v>4</v>
      </c>
      <c r="D75" s="54">
        <v>2554.31</v>
      </c>
      <c r="E75" s="91">
        <v>2619.34</v>
      </c>
      <c r="F75" s="49">
        <f t="shared" si="13"/>
        <v>2619.34</v>
      </c>
      <c r="G75" s="38" t="s">
        <v>128</v>
      </c>
      <c r="H75" s="39" t="s">
        <v>281</v>
      </c>
    </row>
    <row r="76" spans="1:8">
      <c r="A76" t="str">
        <f t="shared" si="0"/>
        <v>641-2-13</v>
      </c>
      <c r="B76" s="37" t="s">
        <v>194</v>
      </c>
      <c r="C76" s="48" t="s">
        <v>4</v>
      </c>
      <c r="D76" s="54">
        <v>21300</v>
      </c>
      <c r="E76" s="91">
        <v>13648.21</v>
      </c>
      <c r="F76" s="49">
        <f t="shared" si="13"/>
        <v>13648.21</v>
      </c>
      <c r="G76" s="38" t="s">
        <v>193</v>
      </c>
      <c r="H76" s="39" t="s">
        <v>281</v>
      </c>
    </row>
    <row r="77" spans="1:8">
      <c r="A77" t="str">
        <f t="shared" si="0"/>
        <v>646-1-11</v>
      </c>
      <c r="B77" s="40" t="s">
        <v>42</v>
      </c>
      <c r="C77" s="48" t="s">
        <v>4</v>
      </c>
      <c r="D77" s="54">
        <v>2890.12</v>
      </c>
      <c r="E77" s="91">
        <v>2712.46</v>
      </c>
      <c r="F77" s="49">
        <f t="shared" si="13"/>
        <v>2712.46</v>
      </c>
      <c r="G77" s="38" t="s">
        <v>43</v>
      </c>
      <c r="H77" s="39" t="s">
        <v>281</v>
      </c>
    </row>
    <row r="78" spans="1:8">
      <c r="A78" t="str">
        <f t="shared" ref="A78" si="14">G78</f>
        <v>649-21-3</v>
      </c>
      <c r="B78" s="40" t="s">
        <v>274</v>
      </c>
      <c r="C78" s="48" t="s">
        <v>4</v>
      </c>
      <c r="D78" s="54">
        <v>60389.2</v>
      </c>
      <c r="E78" s="91">
        <v>61488.56</v>
      </c>
      <c r="F78" s="49">
        <f t="shared" si="13"/>
        <v>61488.56</v>
      </c>
      <c r="G78" s="38" t="s">
        <v>272</v>
      </c>
      <c r="H78" s="39" t="s">
        <v>281</v>
      </c>
    </row>
    <row r="79" spans="1:8">
      <c r="A79" t="str">
        <f t="shared" si="0"/>
        <v>649-21-10</v>
      </c>
      <c r="B79" s="40" t="s">
        <v>139</v>
      </c>
      <c r="C79" s="48" t="s">
        <v>4</v>
      </c>
      <c r="D79" s="54">
        <v>92160.960000000006</v>
      </c>
      <c r="E79" s="91">
        <v>81436.53</v>
      </c>
      <c r="F79" s="49">
        <f t="shared" si="13"/>
        <v>81436.53</v>
      </c>
      <c r="G79" s="38" t="s">
        <v>140</v>
      </c>
      <c r="H79" s="39" t="s">
        <v>281</v>
      </c>
    </row>
    <row r="80" spans="1:8">
      <c r="A80" t="str">
        <f t="shared" ref="A80" si="15">G80</f>
        <v>649-21-15</v>
      </c>
      <c r="B80" s="40" t="s">
        <v>275</v>
      </c>
      <c r="C80" s="48" t="s">
        <v>4</v>
      </c>
      <c r="D80" s="54">
        <v>96772.47</v>
      </c>
      <c r="E80" s="91">
        <v>95736.6</v>
      </c>
      <c r="F80" s="49">
        <f t="shared" si="13"/>
        <v>95736.6</v>
      </c>
      <c r="G80" s="38" t="s">
        <v>273</v>
      </c>
      <c r="H80" s="39" t="s">
        <v>281</v>
      </c>
    </row>
    <row r="81" spans="1:8">
      <c r="A81" t="str">
        <f t="shared" si="0"/>
        <v>650-1-14</v>
      </c>
      <c r="B81" s="40" t="s">
        <v>79</v>
      </c>
      <c r="C81" s="48" t="s">
        <v>4</v>
      </c>
      <c r="D81" s="54">
        <v>2233.69</v>
      </c>
      <c r="E81" s="91">
        <v>1942.96</v>
      </c>
      <c r="F81" s="49">
        <f t="shared" si="13"/>
        <v>1942.96</v>
      </c>
      <c r="G81" s="38" t="s">
        <v>80</v>
      </c>
      <c r="H81" s="39" t="s">
        <v>281</v>
      </c>
    </row>
    <row r="82" spans="1:8">
      <c r="A82" t="str">
        <f t="shared" si="0"/>
        <v>653-1-11</v>
      </c>
      <c r="B82" s="40" t="s">
        <v>59</v>
      </c>
      <c r="C82" s="48" t="s">
        <v>4</v>
      </c>
      <c r="D82" s="54">
        <v>1075.69</v>
      </c>
      <c r="E82" s="91">
        <v>1092.02</v>
      </c>
      <c r="F82" s="49">
        <f t="shared" si="13"/>
        <v>1092.02</v>
      </c>
      <c r="G82" s="38" t="s">
        <v>60</v>
      </c>
      <c r="H82" s="39" t="s">
        <v>281</v>
      </c>
    </row>
    <row r="83" spans="1:8">
      <c r="A83" t="str">
        <f t="shared" si="0"/>
        <v>654-3-10</v>
      </c>
      <c r="B83" s="40" t="s">
        <v>192</v>
      </c>
      <c r="C83" s="48" t="s">
        <v>4</v>
      </c>
      <c r="D83" s="54">
        <v>2400</v>
      </c>
      <c r="E83" s="91">
        <v>2326.17</v>
      </c>
      <c r="F83" s="49">
        <f t="shared" si="13"/>
        <v>2326.17</v>
      </c>
      <c r="G83" s="38" t="s">
        <v>191</v>
      </c>
      <c r="H83" s="39" t="s">
        <v>281</v>
      </c>
    </row>
    <row r="84" spans="1:8">
      <c r="A84" t="str">
        <f t="shared" ref="A84" si="16">G84</f>
        <v>660-1-102</v>
      </c>
      <c r="B84" s="40" t="s">
        <v>285</v>
      </c>
      <c r="C84" s="48" t="s">
        <v>4</v>
      </c>
      <c r="D84" s="54"/>
      <c r="E84" s="91">
        <v>384.27</v>
      </c>
      <c r="F84" s="49">
        <f>E84</f>
        <v>384.27</v>
      </c>
      <c r="G84" s="38" t="s">
        <v>188</v>
      </c>
      <c r="H84" s="39" t="s">
        <v>281</v>
      </c>
    </row>
    <row r="85" spans="1:8">
      <c r="A85" t="str">
        <f t="shared" ref="A85:A86" si="17">G85</f>
        <v>660-2-102</v>
      </c>
      <c r="B85" s="40" t="s">
        <v>190</v>
      </c>
      <c r="C85" s="48" t="s">
        <v>4</v>
      </c>
      <c r="D85" s="54">
        <v>1695.25</v>
      </c>
      <c r="E85" s="91">
        <v>1796.13</v>
      </c>
      <c r="F85" s="49">
        <f t="shared" si="13"/>
        <v>1796.13</v>
      </c>
      <c r="G85" s="38" t="s">
        <v>187</v>
      </c>
      <c r="H85" s="39" t="s">
        <v>281</v>
      </c>
    </row>
    <row r="86" spans="1:8">
      <c r="A86" t="str">
        <f t="shared" si="17"/>
        <v>660-2-106</v>
      </c>
      <c r="B86" s="40" t="s">
        <v>189</v>
      </c>
      <c r="C86" s="48" t="s">
        <v>4</v>
      </c>
      <c r="D86" s="54">
        <v>1971.39</v>
      </c>
      <c r="E86" s="91">
        <v>2093.1999999999998</v>
      </c>
      <c r="F86" s="49">
        <f t="shared" si="13"/>
        <v>2093.1999999999998</v>
      </c>
      <c r="G86" s="38" t="s">
        <v>186</v>
      </c>
      <c r="H86" s="39" t="s">
        <v>281</v>
      </c>
    </row>
    <row r="87" spans="1:8">
      <c r="A87" t="str">
        <f t="shared" si="0"/>
        <v>660-4-11</v>
      </c>
      <c r="B87" s="40" t="s">
        <v>88</v>
      </c>
      <c r="C87" s="48" t="s">
        <v>4</v>
      </c>
      <c r="D87" s="54">
        <v>23551.67</v>
      </c>
      <c r="E87" s="91">
        <v>11486.12</v>
      </c>
      <c r="F87" s="49">
        <f t="shared" si="13"/>
        <v>11486.12</v>
      </c>
      <c r="G87" s="38" t="s">
        <v>86</v>
      </c>
      <c r="H87" s="39" t="s">
        <v>281</v>
      </c>
    </row>
    <row r="88" spans="1:8">
      <c r="A88" t="str">
        <f t="shared" si="0"/>
        <v>660-4-12</v>
      </c>
      <c r="B88" s="40" t="s">
        <v>89</v>
      </c>
      <c r="C88" s="48" t="s">
        <v>4</v>
      </c>
      <c r="D88" s="54">
        <v>8141.64</v>
      </c>
      <c r="E88" s="91">
        <v>7174.42</v>
      </c>
      <c r="F88" s="49">
        <f t="shared" si="13"/>
        <v>7174.42</v>
      </c>
      <c r="G88" s="38" t="s">
        <v>87</v>
      </c>
      <c r="H88" s="39" t="s">
        <v>281</v>
      </c>
    </row>
    <row r="89" spans="1:8">
      <c r="A89" t="str">
        <f t="shared" si="0"/>
        <v>663-1-122</v>
      </c>
      <c r="B89" s="40" t="s">
        <v>124</v>
      </c>
      <c r="C89" s="48" t="s">
        <v>4</v>
      </c>
      <c r="D89" s="54">
        <v>9493.89</v>
      </c>
      <c r="E89" s="91">
        <v>9022.73</v>
      </c>
      <c r="F89" s="49">
        <f t="shared" si="13"/>
        <v>9022.73</v>
      </c>
      <c r="G89" s="38" t="s">
        <v>125</v>
      </c>
      <c r="H89" s="39" t="s">
        <v>281</v>
      </c>
    </row>
    <row r="90" spans="1:8">
      <c r="A90" t="str">
        <f t="shared" ref="A90" si="18">G90</f>
        <v>665-1-11</v>
      </c>
      <c r="B90" s="40" t="s">
        <v>61</v>
      </c>
      <c r="C90" s="48" t="s">
        <v>4</v>
      </c>
      <c r="D90" s="54">
        <v>514.75</v>
      </c>
      <c r="E90" s="91">
        <v>458.7</v>
      </c>
      <c r="F90" s="49">
        <f t="shared" si="13"/>
        <v>458.7</v>
      </c>
      <c r="G90" s="38" t="s">
        <v>62</v>
      </c>
      <c r="H90" s="39" t="s">
        <v>281</v>
      </c>
    </row>
    <row r="91" spans="1:8">
      <c r="A91" t="str">
        <f t="shared" ref="A91:A128" si="19">G91</f>
        <v>670-5-111</v>
      </c>
      <c r="B91" s="40" t="s">
        <v>121</v>
      </c>
      <c r="C91" s="48" t="s">
        <v>4</v>
      </c>
      <c r="D91" s="54">
        <v>50719.59</v>
      </c>
      <c r="E91" s="91">
        <v>42313</v>
      </c>
      <c r="F91" s="49">
        <f t="shared" si="13"/>
        <v>42313</v>
      </c>
      <c r="G91" s="38" t="s">
        <v>126</v>
      </c>
      <c r="H91" s="39" t="s">
        <v>281</v>
      </c>
    </row>
    <row r="92" spans="1:8">
      <c r="A92" t="str">
        <f t="shared" si="19"/>
        <v>676-2-111</v>
      </c>
      <c r="B92" s="40" t="s">
        <v>184</v>
      </c>
      <c r="C92" s="48" t="s">
        <v>4</v>
      </c>
      <c r="D92" s="54"/>
      <c r="E92" s="91">
        <v>14019.5</v>
      </c>
      <c r="F92" s="49">
        <f t="shared" si="13"/>
        <v>14019.5</v>
      </c>
      <c r="G92" s="38" t="s">
        <v>183</v>
      </c>
      <c r="H92" s="39" t="s">
        <v>281</v>
      </c>
    </row>
    <row r="93" spans="1:8">
      <c r="A93" t="str">
        <f t="shared" si="19"/>
        <v>682-1-113</v>
      </c>
      <c r="B93" s="40" t="s">
        <v>185</v>
      </c>
      <c r="C93" s="48" t="s">
        <v>4</v>
      </c>
      <c r="D93" s="54">
        <v>7548.97</v>
      </c>
      <c r="E93" s="91">
        <v>7630.85</v>
      </c>
      <c r="F93" s="49">
        <f t="shared" si="13"/>
        <v>7630.85</v>
      </c>
      <c r="G93" s="38" t="s">
        <v>182</v>
      </c>
      <c r="H93" s="39" t="s">
        <v>281</v>
      </c>
    </row>
    <row r="94" spans="1:8">
      <c r="A94" t="str">
        <f t="shared" si="19"/>
        <v>684-1-1</v>
      </c>
      <c r="B94" s="40" t="s">
        <v>123</v>
      </c>
      <c r="C94" s="48" t="s">
        <v>4</v>
      </c>
      <c r="D94" s="54">
        <v>5200</v>
      </c>
      <c r="E94" s="91">
        <v>8297.26</v>
      </c>
      <c r="F94" s="49">
        <f t="shared" si="13"/>
        <v>8297.26</v>
      </c>
      <c r="G94" s="38" t="s">
        <v>122</v>
      </c>
      <c r="H94" s="39" t="s">
        <v>281</v>
      </c>
    </row>
    <row r="95" spans="1:8">
      <c r="A95" t="str">
        <f t="shared" si="19"/>
        <v>685-1-13</v>
      </c>
      <c r="B95" s="40" t="s">
        <v>180</v>
      </c>
      <c r="C95" s="48" t="s">
        <v>4</v>
      </c>
      <c r="D95" s="54">
        <v>13141.51</v>
      </c>
      <c r="E95" s="91">
        <v>13682.06</v>
      </c>
      <c r="F95" s="49">
        <f t="shared" si="13"/>
        <v>13682.06</v>
      </c>
      <c r="G95" s="38" t="s">
        <v>178</v>
      </c>
      <c r="H95" s="39" t="s">
        <v>281</v>
      </c>
    </row>
    <row r="96" spans="1:8">
      <c r="A96" t="str">
        <f t="shared" si="19"/>
        <v>685-2-1</v>
      </c>
      <c r="B96" s="40" t="s">
        <v>181</v>
      </c>
      <c r="C96" s="48" t="s">
        <v>4</v>
      </c>
      <c r="D96" s="54">
        <v>1099.78</v>
      </c>
      <c r="E96" s="91">
        <v>1167.75</v>
      </c>
      <c r="F96" s="49">
        <f t="shared" si="13"/>
        <v>1167.75</v>
      </c>
      <c r="G96" s="38" t="s">
        <v>179</v>
      </c>
      <c r="H96" s="39" t="s">
        <v>281</v>
      </c>
    </row>
    <row r="97" spans="1:8">
      <c r="A97" t="str">
        <f t="shared" si="19"/>
        <v>700-1-111</v>
      </c>
      <c r="B97" s="40" t="s">
        <v>76</v>
      </c>
      <c r="C97" s="48" t="s">
        <v>4</v>
      </c>
      <c r="D97" s="54">
        <v>619.45000000000005</v>
      </c>
      <c r="E97" s="91">
        <v>573.41</v>
      </c>
      <c r="F97" s="49">
        <f t="shared" si="13"/>
        <v>573.41</v>
      </c>
      <c r="G97" s="38" t="s">
        <v>54</v>
      </c>
      <c r="H97" s="39" t="s">
        <v>281</v>
      </c>
    </row>
    <row r="98" spans="1:8">
      <c r="A98" t="str">
        <f t="shared" si="19"/>
        <v>700-1-112</v>
      </c>
      <c r="B98" s="40" t="s">
        <v>167</v>
      </c>
      <c r="C98" s="48" t="s">
        <v>4</v>
      </c>
      <c r="D98" s="54">
        <v>1860.33</v>
      </c>
      <c r="E98" s="91">
        <v>2124.8000000000002</v>
      </c>
      <c r="F98" s="49">
        <f t="shared" si="13"/>
        <v>2124.8000000000002</v>
      </c>
      <c r="G98" s="38" t="s">
        <v>166</v>
      </c>
      <c r="H98" s="39" t="s">
        <v>281</v>
      </c>
    </row>
    <row r="99" spans="1:8">
      <c r="A99" t="str">
        <f t="shared" si="19"/>
        <v>700-2-114</v>
      </c>
      <c r="B99" s="40" t="s">
        <v>171</v>
      </c>
      <c r="C99" s="48" t="s">
        <v>4</v>
      </c>
      <c r="D99" s="54">
        <v>7546.94</v>
      </c>
      <c r="E99" s="91">
        <v>7947.83</v>
      </c>
      <c r="F99" s="49">
        <f t="shared" si="13"/>
        <v>7947.83</v>
      </c>
      <c r="G99" s="38" t="s">
        <v>168</v>
      </c>
      <c r="H99" s="39" t="s">
        <v>281</v>
      </c>
    </row>
    <row r="100" spans="1:8">
      <c r="A100" t="str">
        <f t="shared" si="19"/>
        <v>700-2-115</v>
      </c>
      <c r="B100" s="40" t="s">
        <v>172</v>
      </c>
      <c r="C100" s="48" t="s">
        <v>4</v>
      </c>
      <c r="D100" s="54">
        <v>11609.64</v>
      </c>
      <c r="E100" s="91">
        <v>11398.15</v>
      </c>
      <c r="F100" s="49">
        <f t="shared" si="13"/>
        <v>11398.15</v>
      </c>
      <c r="G100" s="38" t="s">
        <v>169</v>
      </c>
      <c r="H100" s="39" t="s">
        <v>281</v>
      </c>
    </row>
    <row r="101" spans="1:8">
      <c r="A101" t="str">
        <f t="shared" si="19"/>
        <v>700-2-116</v>
      </c>
      <c r="B101" s="40" t="s">
        <v>173</v>
      </c>
      <c r="C101" s="48" t="s">
        <v>4</v>
      </c>
      <c r="D101" s="54">
        <v>19539.78</v>
      </c>
      <c r="E101" s="91">
        <v>19328.97</v>
      </c>
      <c r="F101" s="49">
        <f t="shared" si="13"/>
        <v>19328.97</v>
      </c>
      <c r="G101" s="38" t="s">
        <v>170</v>
      </c>
      <c r="H101" s="39" t="s">
        <v>281</v>
      </c>
    </row>
    <row r="102" spans="1:8">
      <c r="A102" t="str">
        <f t="shared" si="19"/>
        <v>700-3-201</v>
      </c>
      <c r="B102" s="40" t="s">
        <v>174</v>
      </c>
      <c r="C102" s="48" t="s">
        <v>4</v>
      </c>
      <c r="D102" s="54">
        <v>1055.26</v>
      </c>
      <c r="E102" s="91">
        <v>1013.53</v>
      </c>
      <c r="F102" s="49">
        <f t="shared" si="13"/>
        <v>1013.53</v>
      </c>
      <c r="G102" s="38" t="s">
        <v>175</v>
      </c>
      <c r="H102" s="39" t="s">
        <v>281</v>
      </c>
    </row>
    <row r="103" spans="1:8">
      <c r="A103" t="str">
        <f t="shared" si="19"/>
        <v>700-5-11</v>
      </c>
      <c r="B103" s="40" t="s">
        <v>164</v>
      </c>
      <c r="C103" s="48" t="s">
        <v>4</v>
      </c>
      <c r="D103" s="54">
        <v>6500</v>
      </c>
      <c r="E103" s="91">
        <v>5100</v>
      </c>
      <c r="F103" s="49">
        <f t="shared" si="13"/>
        <v>5100</v>
      </c>
      <c r="G103" s="38" t="s">
        <v>163</v>
      </c>
      <c r="H103" s="39" t="s">
        <v>281</v>
      </c>
    </row>
    <row r="104" spans="1:8">
      <c r="A104" t="str">
        <f t="shared" si="19"/>
        <v>700-5-22</v>
      </c>
      <c r="B104" s="40" t="s">
        <v>162</v>
      </c>
      <c r="C104" s="48" t="s">
        <v>4</v>
      </c>
      <c r="D104" s="54">
        <v>6323.51</v>
      </c>
      <c r="E104" s="91">
        <v>5697.03</v>
      </c>
      <c r="F104" s="49">
        <f t="shared" si="13"/>
        <v>5697.03</v>
      </c>
      <c r="G104" s="38" t="s">
        <v>161</v>
      </c>
      <c r="H104" s="39" t="s">
        <v>281</v>
      </c>
    </row>
    <row r="105" spans="1:8">
      <c r="A105" t="str">
        <f t="shared" si="19"/>
        <v>700-141-111</v>
      </c>
      <c r="B105" s="40" t="s">
        <v>176</v>
      </c>
      <c r="C105" s="48" t="s">
        <v>4</v>
      </c>
      <c r="D105" s="54">
        <v>12025</v>
      </c>
      <c r="E105" s="91">
        <v>10728.37</v>
      </c>
      <c r="F105" s="49">
        <f t="shared" si="13"/>
        <v>10728.37</v>
      </c>
      <c r="G105" s="38" t="s">
        <v>177</v>
      </c>
      <c r="H105" s="39" t="s">
        <v>281</v>
      </c>
    </row>
    <row r="106" spans="1:8">
      <c r="A106" t="str">
        <f t="shared" si="19"/>
        <v>706-1-3</v>
      </c>
      <c r="B106" s="40" t="s">
        <v>74</v>
      </c>
      <c r="C106" s="48" t="s">
        <v>4</v>
      </c>
      <c r="D106" s="54">
        <v>4.74</v>
      </c>
      <c r="E106" s="91">
        <v>4.82</v>
      </c>
      <c r="F106" s="49">
        <f t="shared" si="13"/>
        <v>4.82</v>
      </c>
      <c r="G106" s="38" t="s">
        <v>75</v>
      </c>
      <c r="H106" s="39" t="s">
        <v>281</v>
      </c>
    </row>
    <row r="107" spans="1:8">
      <c r="A107" t="str">
        <f t="shared" si="19"/>
        <v>710-90</v>
      </c>
      <c r="B107" s="40" t="s">
        <v>113</v>
      </c>
      <c r="C107" s="48" t="s">
        <v>114</v>
      </c>
      <c r="D107" s="54">
        <v>44238.96</v>
      </c>
      <c r="E107" s="91">
        <v>41669.230000000003</v>
      </c>
      <c r="F107" s="49">
        <f t="shared" si="13"/>
        <v>41669.230000000003</v>
      </c>
      <c r="G107" s="38" t="s">
        <v>112</v>
      </c>
      <c r="H107" s="39" t="s">
        <v>281</v>
      </c>
    </row>
    <row r="108" spans="1:8">
      <c r="A108" t="str">
        <f t="shared" si="19"/>
        <v>711-11-123</v>
      </c>
      <c r="B108" s="40" t="s">
        <v>90</v>
      </c>
      <c r="C108" s="48" t="s">
        <v>3</v>
      </c>
      <c r="D108" s="54">
        <v>4.01</v>
      </c>
      <c r="E108" s="91">
        <v>3.95</v>
      </c>
      <c r="F108" s="49">
        <f t="shared" si="13"/>
        <v>3.95</v>
      </c>
      <c r="G108" s="38" t="s">
        <v>91</v>
      </c>
      <c r="H108" s="39" t="s">
        <v>281</v>
      </c>
    </row>
    <row r="109" spans="1:8">
      <c r="A109" t="str">
        <f t="shared" si="19"/>
        <v>711-11-124</v>
      </c>
      <c r="B109" s="40" t="s">
        <v>92</v>
      </c>
      <c r="C109" s="48" t="s">
        <v>3</v>
      </c>
      <c r="D109" s="54">
        <v>6.02</v>
      </c>
      <c r="E109" s="91">
        <v>5.62</v>
      </c>
      <c r="F109" s="49">
        <f t="shared" si="13"/>
        <v>5.62</v>
      </c>
      <c r="G109" s="38" t="s">
        <v>93</v>
      </c>
      <c r="H109" s="39" t="s">
        <v>281</v>
      </c>
    </row>
    <row r="110" spans="1:8">
      <c r="A110" t="str">
        <f t="shared" si="19"/>
        <v>711-11-125</v>
      </c>
      <c r="B110" s="40" t="s">
        <v>94</v>
      </c>
      <c r="C110" s="48" t="s">
        <v>3</v>
      </c>
      <c r="D110" s="54">
        <v>8.0500000000000007</v>
      </c>
      <c r="E110" s="91">
        <v>7.42</v>
      </c>
      <c r="F110" s="49">
        <f t="shared" si="13"/>
        <v>7.42</v>
      </c>
      <c r="G110" s="38" t="s">
        <v>95</v>
      </c>
      <c r="H110" s="39" t="s">
        <v>281</v>
      </c>
    </row>
    <row r="111" spans="1:8">
      <c r="A111" t="str">
        <f t="shared" si="19"/>
        <v>711-11-141</v>
      </c>
      <c r="B111" s="40" t="s">
        <v>97</v>
      </c>
      <c r="C111" s="48" t="s">
        <v>26</v>
      </c>
      <c r="D111" s="54">
        <v>2970.99</v>
      </c>
      <c r="E111" s="91">
        <v>2868.46</v>
      </c>
      <c r="F111" s="49">
        <f t="shared" si="13"/>
        <v>2868.46</v>
      </c>
      <c r="G111" s="38" t="s">
        <v>96</v>
      </c>
      <c r="H111" s="39" t="s">
        <v>281</v>
      </c>
    </row>
    <row r="112" spans="1:8">
      <c r="A112" t="str">
        <f t="shared" si="19"/>
        <v>711-11-144</v>
      </c>
      <c r="B112" s="40" t="s">
        <v>99</v>
      </c>
      <c r="C112" s="48" t="s">
        <v>26</v>
      </c>
      <c r="D112" s="54"/>
      <c r="E112" s="91">
        <v>3534.11</v>
      </c>
      <c r="F112" s="49">
        <f t="shared" si="13"/>
        <v>3534.11</v>
      </c>
      <c r="G112" s="38" t="s">
        <v>98</v>
      </c>
      <c r="H112" s="39" t="s">
        <v>281</v>
      </c>
    </row>
    <row r="113" spans="1:8">
      <c r="A113" t="str">
        <f t="shared" si="19"/>
        <v>711-11-160</v>
      </c>
      <c r="B113" s="40" t="s">
        <v>102</v>
      </c>
      <c r="C113" s="48" t="s">
        <v>4</v>
      </c>
      <c r="D113" s="54">
        <v>194.26</v>
      </c>
      <c r="E113" s="91">
        <v>185.61</v>
      </c>
      <c r="F113" s="49">
        <f t="shared" si="13"/>
        <v>185.61</v>
      </c>
      <c r="G113" s="38" t="s">
        <v>100</v>
      </c>
      <c r="H113" s="39" t="s">
        <v>281</v>
      </c>
    </row>
    <row r="114" spans="1:8">
      <c r="A114" t="str">
        <f t="shared" si="19"/>
        <v>711-11-170</v>
      </c>
      <c r="B114" s="40" t="s">
        <v>103</v>
      </c>
      <c r="C114" s="48" t="s">
        <v>4</v>
      </c>
      <c r="D114" s="54">
        <v>85.52</v>
      </c>
      <c r="E114" s="91">
        <v>87.07</v>
      </c>
      <c r="F114" s="49">
        <f t="shared" si="13"/>
        <v>87.07</v>
      </c>
      <c r="G114" s="38" t="s">
        <v>101</v>
      </c>
      <c r="H114" s="39" t="s">
        <v>281</v>
      </c>
    </row>
    <row r="115" spans="1:8">
      <c r="A115" t="str">
        <f t="shared" si="19"/>
        <v>711-11-224</v>
      </c>
      <c r="B115" s="40" t="s">
        <v>107</v>
      </c>
      <c r="C115" s="48" t="s">
        <v>3</v>
      </c>
      <c r="D115" s="54">
        <v>5.61</v>
      </c>
      <c r="E115" s="91">
        <v>5.5</v>
      </c>
      <c r="F115" s="49">
        <f t="shared" si="13"/>
        <v>5.5</v>
      </c>
      <c r="G115" s="38" t="s">
        <v>106</v>
      </c>
      <c r="H115" s="39" t="s">
        <v>281</v>
      </c>
    </row>
    <row r="116" spans="1:8">
      <c r="A116" t="str">
        <f t="shared" si="19"/>
        <v>711-11-241</v>
      </c>
      <c r="B116" s="40" t="s">
        <v>104</v>
      </c>
      <c r="C116" s="48" t="s">
        <v>26</v>
      </c>
      <c r="D116" s="54">
        <v>3066.54</v>
      </c>
      <c r="E116" s="91">
        <v>3164.92</v>
      </c>
      <c r="F116" s="49">
        <f t="shared" si="13"/>
        <v>3164.92</v>
      </c>
      <c r="G116" s="38" t="s">
        <v>105</v>
      </c>
      <c r="H116" s="39" t="s">
        <v>281</v>
      </c>
    </row>
    <row r="117" spans="1:8">
      <c r="A117" t="str">
        <f t="shared" si="19"/>
        <v>711-16-101</v>
      </c>
      <c r="B117" s="40" t="s">
        <v>108</v>
      </c>
      <c r="C117" s="48" t="s">
        <v>26</v>
      </c>
      <c r="D117" s="54">
        <v>5541.81</v>
      </c>
      <c r="E117" s="91">
        <v>5385.34</v>
      </c>
      <c r="F117" s="49">
        <f t="shared" si="13"/>
        <v>5385.34</v>
      </c>
      <c r="G117" s="38" t="s">
        <v>116</v>
      </c>
      <c r="H117" s="39" t="s">
        <v>281</v>
      </c>
    </row>
    <row r="118" spans="1:8">
      <c r="A118" t="str">
        <f t="shared" si="19"/>
        <v>711-16-131</v>
      </c>
      <c r="B118" s="40" t="s">
        <v>109</v>
      </c>
      <c r="C118" s="48" t="s">
        <v>26</v>
      </c>
      <c r="D118" s="54">
        <v>1676.46</v>
      </c>
      <c r="E118" s="91">
        <v>2052.71</v>
      </c>
      <c r="F118" s="49">
        <f t="shared" si="13"/>
        <v>2052.71</v>
      </c>
      <c r="G118" s="38" t="s">
        <v>117</v>
      </c>
      <c r="H118" s="39" t="s">
        <v>281</v>
      </c>
    </row>
    <row r="119" spans="1:8">
      <c r="A119" t="str">
        <f t="shared" si="19"/>
        <v>711-16-201</v>
      </c>
      <c r="B119" s="40" t="s">
        <v>110</v>
      </c>
      <c r="C119" s="48" t="s">
        <v>26</v>
      </c>
      <c r="D119" s="54">
        <v>5451.61</v>
      </c>
      <c r="E119" s="91">
        <v>5455.22</v>
      </c>
      <c r="F119" s="49">
        <f t="shared" si="13"/>
        <v>5455.22</v>
      </c>
      <c r="G119" s="38" t="s">
        <v>118</v>
      </c>
      <c r="H119" s="39" t="s">
        <v>281</v>
      </c>
    </row>
    <row r="120" spans="1:8">
      <c r="A120" t="str">
        <f t="shared" si="19"/>
        <v>713-107</v>
      </c>
      <c r="B120" s="40" t="s">
        <v>160</v>
      </c>
      <c r="C120" s="48" t="s">
        <v>82</v>
      </c>
      <c r="D120" s="54">
        <v>3.27</v>
      </c>
      <c r="E120" s="91">
        <v>3.99</v>
      </c>
      <c r="F120" s="49">
        <f t="shared" si="13"/>
        <v>3.99</v>
      </c>
      <c r="G120" s="38" t="s">
        <v>159</v>
      </c>
      <c r="H120" s="39" t="s">
        <v>281</v>
      </c>
    </row>
    <row r="121" spans="1:8">
      <c r="A121" t="str">
        <f t="shared" si="19"/>
        <v>715-1-13</v>
      </c>
      <c r="B121" s="40" t="s">
        <v>157</v>
      </c>
      <c r="C121" s="48" t="s">
        <v>3</v>
      </c>
      <c r="D121" s="54">
        <v>3.94</v>
      </c>
      <c r="E121" s="91">
        <v>3.89</v>
      </c>
      <c r="F121" s="49">
        <f t="shared" si="13"/>
        <v>3.89</v>
      </c>
      <c r="G121" s="38" t="s">
        <v>158</v>
      </c>
      <c r="H121" s="39" t="s">
        <v>281</v>
      </c>
    </row>
    <row r="122" spans="1:8">
      <c r="A122" t="str">
        <f t="shared" si="19"/>
        <v>715-7-12</v>
      </c>
      <c r="B122" s="40" t="s">
        <v>27</v>
      </c>
      <c r="C122" s="48" t="s">
        <v>4</v>
      </c>
      <c r="D122" s="54">
        <v>9950</v>
      </c>
      <c r="E122" s="91">
        <v>9950</v>
      </c>
      <c r="F122" s="49">
        <f t="shared" si="13"/>
        <v>9950</v>
      </c>
      <c r="G122" s="38" t="s">
        <v>156</v>
      </c>
      <c r="H122" s="39" t="s">
        <v>281</v>
      </c>
    </row>
    <row r="123" spans="1:8">
      <c r="A123" t="str">
        <f t="shared" si="19"/>
        <v>715-61-342</v>
      </c>
      <c r="B123" s="40" t="s">
        <v>154</v>
      </c>
      <c r="C123" s="48" t="s">
        <v>4</v>
      </c>
      <c r="D123" s="54">
        <v>11229.43</v>
      </c>
      <c r="E123" s="91">
        <v>8681.2800000000007</v>
      </c>
      <c r="F123" s="49">
        <f t="shared" si="13"/>
        <v>8681.2800000000007</v>
      </c>
      <c r="G123" s="38" t="s">
        <v>155</v>
      </c>
      <c r="H123" s="39" t="s">
        <v>281</v>
      </c>
    </row>
    <row r="124" spans="1:8">
      <c r="A124" t="str">
        <f t="shared" si="19"/>
        <v>715-69-000</v>
      </c>
      <c r="B124" s="37" t="s">
        <v>134</v>
      </c>
      <c r="C124" s="48" t="s">
        <v>4</v>
      </c>
      <c r="D124" s="54">
        <v>964.93</v>
      </c>
      <c r="E124" s="91">
        <v>914.6</v>
      </c>
      <c r="F124" s="49">
        <f t="shared" si="13"/>
        <v>914.6</v>
      </c>
      <c r="G124" s="38" t="s">
        <v>135</v>
      </c>
      <c r="H124" s="39" t="s">
        <v>281</v>
      </c>
    </row>
    <row r="125" spans="1:8">
      <c r="A125" t="str">
        <f t="shared" si="19"/>
        <v>715-550-1</v>
      </c>
      <c r="B125" s="40" t="s">
        <v>119</v>
      </c>
      <c r="C125" s="48" t="s">
        <v>4</v>
      </c>
      <c r="D125" s="54">
        <v>850.29</v>
      </c>
      <c r="E125" s="57"/>
      <c r="F125" s="49">
        <f>D125</f>
        <v>850.29</v>
      </c>
      <c r="G125" s="38" t="s">
        <v>120</v>
      </c>
      <c r="H125" s="39" t="s">
        <v>282</v>
      </c>
    </row>
    <row r="126" spans="1:8" ht="16.5" thickBot="1">
      <c r="A126">
        <f t="shared" si="19"/>
        <v>0</v>
      </c>
      <c r="B126" s="33"/>
      <c r="C126" s="33"/>
      <c r="D126" s="56"/>
      <c r="E126" s="58"/>
      <c r="F126" s="50"/>
      <c r="G126" s="34"/>
    </row>
    <row r="127" spans="1:8" ht="15.75">
      <c r="A127">
        <f t="shared" si="19"/>
        <v>0</v>
      </c>
      <c r="B127" s="120" t="s">
        <v>39</v>
      </c>
      <c r="C127" s="121"/>
      <c r="D127" s="121"/>
      <c r="E127" s="121"/>
      <c r="F127" s="121"/>
      <c r="G127" s="122"/>
    </row>
    <row r="128" spans="1:8">
      <c r="A128">
        <f t="shared" si="19"/>
        <v>0</v>
      </c>
      <c r="B128" s="14" t="s">
        <v>165</v>
      </c>
      <c r="C128" s="48" t="s">
        <v>4</v>
      </c>
      <c r="D128" s="44">
        <v>40000</v>
      </c>
      <c r="E128" s="51"/>
      <c r="F128" s="51"/>
      <c r="G128" s="35"/>
    </row>
    <row r="129" spans="2:7" ht="15.75">
      <c r="B129" s="10"/>
      <c r="C129" s="8"/>
      <c r="D129" s="45"/>
      <c r="E129" s="52"/>
      <c r="F129" s="52"/>
      <c r="G129" s="35"/>
    </row>
    <row r="130" spans="2:7">
      <c r="B130" s="14" t="s">
        <v>229</v>
      </c>
      <c r="C130" s="48" t="s">
        <v>82</v>
      </c>
      <c r="D130" s="44">
        <v>155</v>
      </c>
      <c r="E130" s="51"/>
      <c r="F130" s="51"/>
      <c r="G130" s="35"/>
    </row>
    <row r="131" spans="2:7">
      <c r="B131" s="14"/>
      <c r="C131" s="14"/>
      <c r="D131" s="44"/>
      <c r="E131" s="51"/>
      <c r="F131" s="51"/>
      <c r="G131" s="35"/>
    </row>
    <row r="132" spans="2:7">
      <c r="B132" s="14"/>
      <c r="C132" s="14"/>
      <c r="D132" s="44"/>
      <c r="E132" s="51"/>
      <c r="F132" s="51"/>
      <c r="G132" s="32"/>
    </row>
    <row r="133" spans="2:7">
      <c r="B133" s="14"/>
      <c r="C133" s="14"/>
      <c r="D133" s="44"/>
      <c r="E133" s="51"/>
      <c r="F133" s="51"/>
      <c r="G133" s="32"/>
    </row>
    <row r="134" spans="2:7" ht="15.75">
      <c r="B134" s="2"/>
      <c r="C134" s="2"/>
      <c r="D134" s="46"/>
      <c r="E134" s="53"/>
      <c r="F134" s="53"/>
      <c r="G134" s="32"/>
    </row>
    <row r="135" spans="2:7" ht="15.75">
      <c r="B135" s="2"/>
      <c r="C135" s="2"/>
      <c r="D135" s="46"/>
      <c r="E135" s="53"/>
      <c r="F135" s="53"/>
      <c r="G135" s="32"/>
    </row>
    <row r="136" spans="2:7" ht="15.75">
      <c r="B136" s="2"/>
      <c r="C136" s="2"/>
      <c r="D136" s="46"/>
      <c r="E136" s="53"/>
      <c r="F136" s="53"/>
      <c r="G136" s="32"/>
    </row>
    <row r="137" spans="2:7" ht="15.75">
      <c r="B137" s="2"/>
      <c r="C137" s="2"/>
      <c r="D137" s="46"/>
      <c r="E137" s="53"/>
      <c r="F137" s="53"/>
      <c r="G137" s="32"/>
    </row>
    <row r="138" spans="2:7" ht="15.75">
      <c r="B138" s="2"/>
      <c r="C138" s="2"/>
      <c r="D138" s="46"/>
      <c r="E138" s="53"/>
      <c r="F138" s="53"/>
      <c r="G138" s="36"/>
    </row>
    <row r="139" spans="2:7" ht="15.75">
      <c r="B139" s="2"/>
      <c r="C139" s="2"/>
      <c r="D139" s="46"/>
      <c r="E139" s="53"/>
      <c r="F139" s="53"/>
      <c r="G139" s="32"/>
    </row>
    <row r="140" spans="2:7" ht="15.75">
      <c r="B140" s="2"/>
      <c r="C140" s="2"/>
      <c r="D140" s="46"/>
      <c r="E140" s="53"/>
      <c r="F140" s="53"/>
      <c r="G140" s="32"/>
    </row>
    <row r="141" spans="2:7" ht="15.75">
      <c r="B141" s="2"/>
      <c r="C141" s="2"/>
      <c r="D141" s="46"/>
      <c r="E141" s="53"/>
      <c r="F141" s="53"/>
      <c r="G141" s="32"/>
    </row>
    <row r="142" spans="2:7" ht="15.75">
      <c r="B142" s="2"/>
      <c r="C142" s="2"/>
      <c r="D142" s="46"/>
      <c r="E142" s="53"/>
      <c r="F142" s="53"/>
      <c r="G142" s="32"/>
    </row>
    <row r="143" spans="2:7" ht="16.5" thickBot="1">
      <c r="B143" s="33"/>
      <c r="C143" s="33"/>
      <c r="D143" s="43"/>
      <c r="E143" s="50"/>
      <c r="F143" s="50"/>
      <c r="G143" s="34"/>
    </row>
  </sheetData>
  <mergeCells count="8">
    <mergeCell ref="G4:G5"/>
    <mergeCell ref="B1:G3"/>
    <mergeCell ref="B127:G127"/>
    <mergeCell ref="B4:B5"/>
    <mergeCell ref="C4:C5"/>
    <mergeCell ref="D4:D5"/>
    <mergeCell ref="E4:E5"/>
    <mergeCell ref="F4:F5"/>
  </mergeCells>
  <phoneticPr fontId="14" type="noConversion"/>
  <pageMargins left="0.7" right="0.7" top="0.75" bottom="0.75" header="0.3" footer="0.3"/>
  <pageSetup scale="74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5651-802B-4102-9E67-079F80941BEC}">
  <dimension ref="D2:X33"/>
  <sheetViews>
    <sheetView topLeftCell="G1" workbookViewId="0">
      <selection activeCell="X15" sqref="X15"/>
    </sheetView>
  </sheetViews>
  <sheetFormatPr defaultRowHeight="15"/>
  <cols>
    <col min="4" max="4" width="11" bestFit="1" customWidth="1"/>
    <col min="10" max="10" width="12.140625" customWidth="1"/>
    <col min="11" max="13" width="13.5703125" customWidth="1"/>
    <col min="14" max="14" width="10.5703125" bestFit="1" customWidth="1"/>
    <col min="15" max="15" width="13.5703125" customWidth="1"/>
  </cols>
  <sheetData>
    <row r="2" spans="4:24">
      <c r="J2" s="131" t="s">
        <v>286</v>
      </c>
      <c r="K2" s="131"/>
      <c r="L2" s="1"/>
      <c r="M2" s="1"/>
      <c r="N2" s="131" t="s">
        <v>289</v>
      </c>
      <c r="O2" s="131"/>
    </row>
    <row r="3" spans="4:24">
      <c r="D3" t="s">
        <v>279</v>
      </c>
      <c r="J3" t="s">
        <v>290</v>
      </c>
      <c r="K3" t="s">
        <v>291</v>
      </c>
      <c r="L3" t="s">
        <v>3</v>
      </c>
      <c r="N3" t="s">
        <v>290</v>
      </c>
      <c r="O3" t="s">
        <v>291</v>
      </c>
      <c r="P3" t="s">
        <v>3</v>
      </c>
      <c r="Q3" t="s">
        <v>292</v>
      </c>
      <c r="U3" t="s">
        <v>297</v>
      </c>
    </row>
    <row r="4" spans="4:24">
      <c r="D4">
        <v>2400</v>
      </c>
      <c r="I4" t="s">
        <v>287</v>
      </c>
      <c r="J4" s="97">
        <v>25900</v>
      </c>
      <c r="K4" s="97">
        <v>30100</v>
      </c>
      <c r="L4" s="98">
        <f>K4-J4</f>
        <v>4200</v>
      </c>
      <c r="M4" s="97"/>
      <c r="N4" s="97">
        <v>33300</v>
      </c>
      <c r="O4" s="97">
        <v>34600</v>
      </c>
      <c r="P4" s="98">
        <f>O4-N4</f>
        <v>1300</v>
      </c>
      <c r="S4" t="s">
        <v>293</v>
      </c>
      <c r="T4" t="s">
        <v>294</v>
      </c>
      <c r="U4" t="s">
        <v>295</v>
      </c>
      <c r="V4" t="s">
        <v>296</v>
      </c>
    </row>
    <row r="5" spans="4:24">
      <c r="D5">
        <v>2400</v>
      </c>
      <c r="I5" t="s">
        <v>288</v>
      </c>
      <c r="J5" s="97">
        <v>30500</v>
      </c>
      <c r="K5" s="97">
        <v>33300</v>
      </c>
      <c r="L5" s="98">
        <f>K5-J5</f>
        <v>2800</v>
      </c>
      <c r="M5" s="97"/>
      <c r="N5" s="97">
        <v>35000</v>
      </c>
      <c r="O5" s="97">
        <v>35900</v>
      </c>
      <c r="P5" s="98">
        <f>O5-N5</f>
        <v>900</v>
      </c>
      <c r="R5">
        <v>24</v>
      </c>
      <c r="S5">
        <f>1700+850+60+1250+60+1100+60</f>
        <v>5080</v>
      </c>
      <c r="T5">
        <f>1400+1250+60+650+60</f>
        <v>3420</v>
      </c>
      <c r="U5">
        <f>1000+250+60+250+60</f>
        <v>1620</v>
      </c>
      <c r="V5">
        <f>250+250+60</f>
        <v>560</v>
      </c>
      <c r="X5">
        <f>SUM(S5:V5)</f>
        <v>10680</v>
      </c>
    </row>
    <row r="6" spans="4:24">
      <c r="D6">
        <v>2250</v>
      </c>
      <c r="R6">
        <v>30</v>
      </c>
      <c r="S6">
        <v>1000</v>
      </c>
      <c r="T6">
        <v>1100</v>
      </c>
      <c r="U6">
        <v>100</v>
      </c>
      <c r="V6">
        <v>100</v>
      </c>
      <c r="X6">
        <f t="shared" ref="X6:X10" si="0">SUM(S6:V6)</f>
        <v>2300</v>
      </c>
    </row>
    <row r="7" spans="4:24">
      <c r="D7">
        <v>2250</v>
      </c>
      <c r="R7">
        <v>36</v>
      </c>
      <c r="S7">
        <v>1000</v>
      </c>
      <c r="T7">
        <v>100</v>
      </c>
      <c r="X7">
        <f t="shared" si="0"/>
        <v>1100</v>
      </c>
    </row>
    <row r="8" spans="4:24">
      <c r="D8">
        <v>2250</v>
      </c>
      <c r="R8">
        <v>42</v>
      </c>
      <c r="S8">
        <v>1000</v>
      </c>
      <c r="X8">
        <f t="shared" si="0"/>
        <v>1000</v>
      </c>
    </row>
    <row r="9" spans="4:24">
      <c r="D9">
        <v>2250</v>
      </c>
      <c r="R9">
        <v>48</v>
      </c>
      <c r="S9">
        <v>100</v>
      </c>
      <c r="X9">
        <f t="shared" si="0"/>
        <v>100</v>
      </c>
    </row>
    <row r="10" spans="4:24">
      <c r="D10">
        <v>2700</v>
      </c>
      <c r="R10">
        <v>60</v>
      </c>
      <c r="X10">
        <f t="shared" si="0"/>
        <v>0</v>
      </c>
    </row>
    <row r="11" spans="4:24">
      <c r="D11">
        <v>2400</v>
      </c>
    </row>
    <row r="12" spans="4:24">
      <c r="D12">
        <v>2850</v>
      </c>
    </row>
    <row r="13" spans="4:24">
      <c r="D13">
        <v>1500</v>
      </c>
    </row>
    <row r="14" spans="4:24">
      <c r="D14">
        <v>1200</v>
      </c>
    </row>
    <row r="15" spans="4:24">
      <c r="D15">
        <v>1350</v>
      </c>
    </row>
    <row r="16" spans="4:24">
      <c r="D16">
        <v>1350</v>
      </c>
    </row>
    <row r="17" spans="4:7">
      <c r="D17">
        <v>1800</v>
      </c>
    </row>
    <row r="18" spans="4:7">
      <c r="D18">
        <v>2230</v>
      </c>
    </row>
    <row r="19" spans="4:7">
      <c r="D19">
        <v>2342</v>
      </c>
    </row>
    <row r="20" spans="4:7">
      <c r="D20">
        <v>2550</v>
      </c>
    </row>
    <row r="21" spans="4:7">
      <c r="D21">
        <v>2550</v>
      </c>
    </row>
    <row r="22" spans="4:7">
      <c r="D22">
        <v>2250</v>
      </c>
    </row>
    <row r="23" spans="4:7">
      <c r="D23">
        <v>2250</v>
      </c>
    </row>
    <row r="24" spans="4:7">
      <c r="D24">
        <v>2550</v>
      </c>
    </row>
    <row r="25" spans="4:7">
      <c r="D25">
        <v>2550</v>
      </c>
    </row>
    <row r="26" spans="4:7">
      <c r="D26">
        <v>2550</v>
      </c>
    </row>
    <row r="27" spans="4:7">
      <c r="D27">
        <v>2550</v>
      </c>
    </row>
    <row r="28" spans="4:7">
      <c r="D28">
        <v>2550</v>
      </c>
    </row>
    <row r="29" spans="4:7">
      <c r="D29">
        <v>2850</v>
      </c>
    </row>
    <row r="30" spans="4:7">
      <c r="D30">
        <v>2850</v>
      </c>
    </row>
    <row r="31" spans="4:7">
      <c r="D31">
        <f>SUM(D4:D30)</f>
        <v>61572</v>
      </c>
    </row>
    <row r="32" spans="4:7">
      <c r="D32">
        <f>D31/(26*300)</f>
        <v>7.8938461538461535</v>
      </c>
      <c r="F32" t="s">
        <v>280</v>
      </c>
      <c r="G32">
        <v>26</v>
      </c>
    </row>
    <row r="33" spans="7:7">
      <c r="G33">
        <f>G32*3*2</f>
        <v>156</v>
      </c>
    </row>
  </sheetData>
  <mergeCells count="2">
    <mergeCell ref="N2:O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Cost Estimate</vt:lpstr>
      <vt:lpstr>Unit Costs</vt:lpstr>
      <vt:lpstr>Sheet1</vt:lpstr>
      <vt:lpstr>'Cost Estimate'!Print_Area</vt:lpstr>
      <vt:lpstr>'Unit Costs'!Print_Area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Swider, Erin</dc:creator>
  <cp:lastModifiedBy>Kevin Freeman</cp:lastModifiedBy>
  <cp:lastPrinted>2026-03-03T21:26:17Z</cp:lastPrinted>
  <dcterms:created xsi:type="dcterms:W3CDTF">2019-03-14T16:23:22Z</dcterms:created>
  <dcterms:modified xsi:type="dcterms:W3CDTF">2026-07-17T20:30:20Z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