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nleyconsultants-my.sharepoint.com/personal/10211_stanleygroup_com/Documents/Desktop/"/>
    </mc:Choice>
  </mc:AlternateContent>
  <xr:revisionPtr revIDLastSave="33" documentId="13_ncr:1_{E4C87253-CADE-47A6-BA0B-CDD0E6A95381}" xr6:coauthVersionLast="47" xr6:coauthVersionMax="47" xr10:uidLastSave="{702504DB-6988-4860-A0E9-52A7C61C0F13}"/>
  <bookViews>
    <workbookView xWindow="-120" yWindow="-120" windowWidth="29040" windowHeight="15840" xr2:uid="{00000000-000D-0000-FFFF-FFFF00000000}"/>
  </bookViews>
  <sheets>
    <sheet name="CALCULATIONS" sheetId="1" r:id="rId1"/>
    <sheet name="SSD from FD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I12" i="1"/>
  <c r="H12" i="1"/>
  <c r="F12" i="1"/>
  <c r="R12" i="1" s="1"/>
  <c r="G12" i="1"/>
  <c r="R14" i="1"/>
  <c r="T14" i="1"/>
  <c r="Z14" i="1"/>
  <c r="P15" i="1"/>
  <c r="X15" i="1"/>
  <c r="N13" i="1"/>
  <c r="H11" i="1"/>
  <c r="H9" i="1"/>
  <c r="I29" i="1"/>
  <c r="I28" i="1"/>
  <c r="I27" i="1"/>
  <c r="T12" i="1" l="1"/>
  <c r="V12" i="1"/>
  <c r="Z12" i="1"/>
  <c r="S12" i="1"/>
  <c r="N12" i="1"/>
  <c r="V15" i="1"/>
  <c r="X13" i="1"/>
  <c r="V13" i="1"/>
  <c r="P13" i="1"/>
  <c r="M15" i="1"/>
  <c r="O14" i="1"/>
  <c r="H10" i="1"/>
  <c r="M12" i="1"/>
  <c r="U15" i="1"/>
  <c r="Y14" i="1"/>
  <c r="Q14" i="1"/>
  <c r="U13" i="1"/>
  <c r="Y12" i="1"/>
  <c r="Q12" i="1"/>
  <c r="N15" i="1"/>
  <c r="T15" i="1"/>
  <c r="X14" i="1"/>
  <c r="P14" i="1"/>
  <c r="T13" i="1"/>
  <c r="X12" i="1"/>
  <c r="P12" i="1"/>
  <c r="H8" i="1"/>
  <c r="N14" i="1"/>
  <c r="Z15" i="1"/>
  <c r="R15" i="1"/>
  <c r="V14" i="1"/>
  <c r="Z13" i="1"/>
  <c r="R13" i="1"/>
  <c r="M14" i="1"/>
  <c r="Y15" i="1"/>
  <c r="Q15" i="1"/>
  <c r="U14" i="1"/>
  <c r="Y13" i="1"/>
  <c r="Q13" i="1"/>
  <c r="U12" i="1"/>
  <c r="S15" i="1"/>
  <c r="W14" i="1"/>
  <c r="S13" i="1"/>
  <c r="W12" i="1"/>
  <c r="O12" i="1"/>
  <c r="M13" i="1"/>
  <c r="W15" i="1"/>
  <c r="O15" i="1"/>
  <c r="S14" i="1"/>
  <c r="W13" i="1"/>
  <c r="O13" i="1"/>
  <c r="S33" i="1"/>
  <c r="X33" i="1" s="1"/>
  <c r="S32" i="1"/>
  <c r="X32" i="1" s="1"/>
  <c r="I9" i="1" l="1"/>
  <c r="I10" i="1"/>
  <c r="I11" i="1"/>
  <c r="I8" i="1"/>
  <c r="G9" i="1" l="1"/>
  <c r="G10" i="1"/>
  <c r="G11" i="1"/>
  <c r="F9" i="1" l="1"/>
  <c r="F10" i="1"/>
  <c r="F11" i="1"/>
  <c r="G8" i="1"/>
  <c r="F8" i="1"/>
  <c r="V8" i="1" l="1"/>
  <c r="R8" i="1"/>
  <c r="T8" i="1"/>
  <c r="S8" i="1"/>
  <c r="Y8" i="1"/>
  <c r="Q8" i="1"/>
  <c r="X8" i="1"/>
  <c r="P8" i="1"/>
  <c r="N8" i="1"/>
  <c r="W8" i="1"/>
  <c r="O8" i="1"/>
  <c r="M8" i="1"/>
  <c r="U8" i="1"/>
  <c r="Z8" i="1"/>
  <c r="O11" i="1"/>
  <c r="W11" i="1"/>
  <c r="S11" i="1"/>
  <c r="Q11" i="1"/>
  <c r="Y11" i="1"/>
  <c r="R11" i="1"/>
  <c r="Z11" i="1"/>
  <c r="T11" i="1"/>
  <c r="N11" i="1"/>
  <c r="U11" i="1"/>
  <c r="V11" i="1"/>
  <c r="P11" i="1"/>
  <c r="X11" i="1"/>
  <c r="M11" i="1"/>
  <c r="S10" i="1"/>
  <c r="O10" i="1"/>
  <c r="W10" i="1"/>
  <c r="U10" i="1"/>
  <c r="M10" i="1"/>
  <c r="V10" i="1"/>
  <c r="N10" i="1"/>
  <c r="P10" i="1"/>
  <c r="X10" i="1"/>
  <c r="Q10" i="1"/>
  <c r="Y10" i="1"/>
  <c r="R10" i="1"/>
  <c r="Z10" i="1"/>
  <c r="T10" i="1"/>
  <c r="O9" i="1"/>
  <c r="W9" i="1"/>
  <c r="M9" i="1"/>
  <c r="X9" i="1"/>
  <c r="P9" i="1"/>
  <c r="Q9" i="1"/>
  <c r="Y9" i="1"/>
  <c r="R9" i="1"/>
  <c r="Z9" i="1"/>
  <c r="T9" i="1"/>
  <c r="U9" i="1"/>
  <c r="V9" i="1"/>
  <c r="N9" i="1"/>
  <c r="S9" i="1"/>
  <c r="J8" i="1"/>
  <c r="J11" i="1"/>
  <c r="J10" i="1"/>
  <c r="J9" i="1"/>
  <c r="H15" i="1"/>
  <c r="H13" i="1"/>
  <c r="I15" i="1"/>
  <c r="I13" i="1"/>
  <c r="J15" i="1"/>
  <c r="J14" i="1"/>
  <c r="H14" i="1" s="1"/>
  <c r="J13" i="1"/>
  <c r="I14" i="1" l="1"/>
</calcChain>
</file>

<file path=xl/sharedStrings.xml><?xml version="1.0" encoding="utf-8"?>
<sst xmlns="http://schemas.openxmlformats.org/spreadsheetml/2006/main" count="99" uniqueCount="65">
  <si>
    <t>Pole</t>
  </si>
  <si>
    <t>A</t>
  </si>
  <si>
    <t>B</t>
  </si>
  <si>
    <t>C</t>
  </si>
  <si>
    <t>D</t>
  </si>
  <si>
    <t>Crown</t>
  </si>
  <si>
    <t>Location</t>
  </si>
  <si>
    <t>Rod Measurments (Feet)</t>
  </si>
  <si>
    <t>Field Reference (Rod Measure)=</t>
  </si>
  <si>
    <t>INPUT</t>
  </si>
  <si>
    <t>Output</t>
  </si>
  <si>
    <t>MAST ARM MOUNTING HEIGHT CALCULATOR</t>
  </si>
  <si>
    <t>E</t>
  </si>
  <si>
    <t>F</t>
  </si>
  <si>
    <t>G</t>
  </si>
  <si>
    <t>H</t>
  </si>
  <si>
    <t>Pole Foundation Flush with Sidewalk?</t>
  </si>
  <si>
    <t>Design Signal Head (3-section or 4-section)</t>
  </si>
  <si>
    <t>Intersection Name:</t>
  </si>
  <si>
    <t>Based on 4-section</t>
  </si>
  <si>
    <t>Based on 3-section</t>
  </si>
  <si>
    <t>Mntg Ht:</t>
  </si>
  <si>
    <t>*  Based on providing a clearance of 18.25' between crown and bottom of signal head.</t>
  </si>
  <si>
    <t>N</t>
  </si>
  <si>
    <t>Arm Mounting Height for plans</t>
  </si>
  <si>
    <t>Ground Elevation (Feet)</t>
  </si>
  <si>
    <t>Use these Elevations in Plans (Feet)</t>
  </si>
  <si>
    <t>Calculated Arm Mounting Height(Feet)*</t>
  </si>
  <si>
    <t>Plan Elev.</t>
  </si>
  <si>
    <t>Check</t>
  </si>
  <si>
    <t>Clearance provided</t>
  </si>
  <si>
    <t xml:space="preserve">Standard clearance to bottom of head (ft) = </t>
  </si>
  <si>
    <t>***** decrease standard clearance as necessary if near a bridge</t>
  </si>
  <si>
    <t>Standard Clearance (Feet)</t>
  </si>
  <si>
    <t>Height of Head (Feet)</t>
  </si>
  <si>
    <t>Height of Head will need to be reduced to 1.25' if using Horizontal heads</t>
  </si>
  <si>
    <t>Bridge clearance:</t>
  </si>
  <si>
    <t xml:space="preserve">Design speed </t>
  </si>
  <si>
    <t>MPH</t>
  </si>
  <si>
    <t>SSD</t>
  </si>
  <si>
    <t>Ft</t>
  </si>
  <si>
    <t>Mast Arm</t>
  </si>
  <si>
    <t>Direction</t>
  </si>
  <si>
    <t xml:space="preserve">Stop bar Sta </t>
  </si>
  <si>
    <t>SSD Sta</t>
  </si>
  <si>
    <t>Mast arm Sta</t>
  </si>
  <si>
    <t>Min clear (ft)</t>
  </si>
  <si>
    <t>Min clear Sta</t>
  </si>
  <si>
    <t>Max height</t>
  </si>
  <si>
    <t>WB or SB</t>
  </si>
  <si>
    <t>WB</t>
  </si>
  <si>
    <t>EB or NB</t>
  </si>
  <si>
    <t>EB</t>
  </si>
  <si>
    <t>head height</t>
  </si>
  <si>
    <t>1-section</t>
  </si>
  <si>
    <t>feet</t>
  </si>
  <si>
    <t>3 section</t>
  </si>
  <si>
    <t>4 section</t>
  </si>
  <si>
    <t>Index 649-031 shows the heads with the yellow centered on the arm.</t>
  </si>
  <si>
    <t>Head heights for 3 section and 4 section are based on this.</t>
  </si>
  <si>
    <t>12" per section</t>
  </si>
  <si>
    <t>12/2+8"=14"</t>
  </si>
  <si>
    <t>12+12/2+8=26"</t>
  </si>
  <si>
    <t>12*2+12/2+8=38"</t>
  </si>
  <si>
    <t>Check Table on SSD tab and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</si>
</sst>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\+##"/>
    <numFmt numFmtId="165" formatCode="0.0000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0" fillId="0" borderId="24" xfId="0" applyBorder="1" applyAlignment="1">
      <alignment horizontal="center" wrapText="1"/>
    </xf>
    <xf numFmtId="0" fontId="0" fillId="0" borderId="27" xfId="0" applyBorder="1"/>
    <xf numFmtId="0" fontId="0" fillId="0" borderId="17" xfId="0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2" borderId="22" xfId="0" applyFill="1" applyBorder="1"/>
    <xf numFmtId="0" fontId="0" fillId="2" borderId="31" xfId="0" applyFill="1" applyBorder="1"/>
    <xf numFmtId="0" fontId="0" fillId="4" borderId="6" xfId="0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4" borderId="46" xfId="0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0" fillId="0" borderId="25" xfId="0" applyBorder="1"/>
    <xf numFmtId="0" fontId="0" fillId="0" borderId="28" xfId="0" applyBorder="1"/>
    <xf numFmtId="0" fontId="0" fillId="0" borderId="26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wrapText="1"/>
    </xf>
    <xf numFmtId="164" fontId="0" fillId="0" borderId="0" xfId="0" applyNumberFormat="1"/>
    <xf numFmtId="2" fontId="0" fillId="0" borderId="0" xfId="0" applyNumberFormat="1"/>
    <xf numFmtId="0" fontId="0" fillId="0" borderId="29" xfId="0" applyBorder="1"/>
    <xf numFmtId="0" fontId="0" fillId="0" borderId="17" xfId="0" applyBorder="1"/>
    <xf numFmtId="0" fontId="0" fillId="0" borderId="0" xfId="0" quotePrefix="1"/>
    <xf numFmtId="166" fontId="0" fillId="0" borderId="1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2" fontId="0" fillId="3" borderId="32" xfId="0" applyNumberFormat="1" applyFill="1" applyBorder="1" applyAlignment="1">
      <alignment horizontal="center"/>
    </xf>
    <xf numFmtId="2" fontId="0" fillId="3" borderId="33" xfId="0" applyNumberFormat="1" applyFill="1" applyBorder="1" applyAlignment="1">
      <alignment horizontal="center"/>
    </xf>
    <xf numFmtId="2" fontId="0" fillId="3" borderId="34" xfId="0" applyNumberFormat="1" applyFill="1" applyBorder="1" applyAlignment="1">
      <alignment horizontal="center"/>
    </xf>
    <xf numFmtId="2" fontId="0" fillId="3" borderId="35" xfId="0" applyNumberFormat="1" applyFill="1" applyBorder="1" applyAlignment="1">
      <alignment horizontal="center"/>
    </xf>
    <xf numFmtId="2" fontId="0" fillId="3" borderId="36" xfId="0" applyNumberFormat="1" applyFill="1" applyBorder="1" applyAlignment="1">
      <alignment horizontal="center"/>
    </xf>
    <xf numFmtId="2" fontId="0" fillId="3" borderId="37" xfId="0" applyNumberFormat="1" applyFill="1" applyBorder="1" applyAlignment="1">
      <alignment horizontal="center"/>
    </xf>
    <xf numFmtId="0" fontId="0" fillId="2" borderId="0" xfId="0" applyFill="1"/>
    <xf numFmtId="0" fontId="0" fillId="0" borderId="0" xfId="0" applyAlignment="1">
      <alignment horizontal="righ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8" xfId="0" applyBorder="1" applyAlignment="1">
      <alignment horizontal="right"/>
    </xf>
    <xf numFmtId="0" fontId="0" fillId="4" borderId="44" xfId="0" applyFill="1" applyBorder="1" applyAlignment="1">
      <alignment horizontal="center" wrapText="1"/>
    </xf>
    <xf numFmtId="0" fontId="0" fillId="4" borderId="45" xfId="0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3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43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3" fillId="2" borderId="30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156883</xdr:colOff>
      <xdr:row>35</xdr:row>
      <xdr:rowOff>67236</xdr:rowOff>
    </xdr:from>
    <xdr:to>
      <xdr:col>12</xdr:col>
      <xdr:colOff>374167</xdr:colOff>
      <xdr:row>45</xdr:row>
      <xdr:rowOff>44824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1A0956-666B-49FB-AD02-4B823D746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3765" y="7451912"/>
          <a:ext cx="6302078" cy="1882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</xdr:row>
      <xdr:rowOff>76200</xdr:rowOff>
    </xdr:from>
    <xdr:to>
      <xdr:col>10</xdr:col>
      <xdr:colOff>381726</xdr:colOff>
      <xdr:row>30</xdr:row>
      <xdr:rowOff>76944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8B88932-2AC0-4176-9224-85EF0095D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457200"/>
          <a:ext cx="5201376" cy="5334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48"/>
  <sheetViews>
    <sheetView tabSelected="1" zoomScale="85" zoomScaleNormal="85" workbookViewId="0">
      <selection activeCell="C12" sqref="C12"/>
    </sheetView>
  </sheetViews>
  <sheetFormatPr defaultRowHeight="15" x14ac:dyDescent="0.25"/>
  <cols>
    <col min="1" max="1" width="15.140625" style="30" customWidth="1"/>
    <col min="2" max="3" width="9.28515625" customWidth="1"/>
    <col min="4" max="5" width="13" customWidth="1"/>
    <col min="7" max="8" width="16.7109375" customWidth="1"/>
    <col min="9" max="9" width="12.28515625" customWidth="1"/>
    <col min="10" max="10" width="14.85546875" customWidth="1"/>
    <col min="11" max="12" width="11" customWidth="1"/>
    <col min="13" max="26" width="9.28515625" customWidth="1"/>
  </cols>
  <sheetData>
    <row r="2" spans="1:26" x14ac:dyDescent="0.25">
      <c r="A2" s="78" t="s">
        <v>18</v>
      </c>
      <c r="B2" s="78"/>
      <c r="C2" s="10"/>
      <c r="D2" s="9"/>
      <c r="E2" s="9"/>
      <c r="F2" s="9"/>
      <c r="G2" s="9"/>
      <c r="H2" s="9"/>
      <c r="I2" s="9"/>
      <c r="J2" s="9"/>
      <c r="K2" s="9"/>
      <c r="L2" s="40"/>
      <c r="M2" s="40"/>
      <c r="N2" s="40"/>
      <c r="O2" s="41"/>
    </row>
    <row r="4" spans="1:26" ht="19.5" customHeight="1" thickBot="1" x14ac:dyDescent="0.35">
      <c r="A4" s="64" t="s">
        <v>11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35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</row>
    <row r="5" spans="1:26" ht="15.75" thickBot="1" x14ac:dyDescent="0.3">
      <c r="A5" s="70" t="s">
        <v>9</v>
      </c>
      <c r="B5" s="72"/>
      <c r="C5" s="72"/>
      <c r="D5" s="72"/>
      <c r="E5" s="71"/>
      <c r="F5" s="70" t="s">
        <v>28</v>
      </c>
      <c r="G5" s="71"/>
      <c r="H5" s="70" t="s">
        <v>10</v>
      </c>
      <c r="I5" s="72"/>
      <c r="J5" s="72"/>
      <c r="K5" s="29" t="s">
        <v>29</v>
      </c>
      <c r="M5" s="67" t="s">
        <v>30</v>
      </c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9"/>
    </row>
    <row r="6" spans="1:26" ht="46.5" customHeight="1" x14ac:dyDescent="0.25">
      <c r="A6" s="31"/>
      <c r="B6" s="76" t="s">
        <v>25</v>
      </c>
      <c r="C6" s="76"/>
      <c r="D6" s="85" t="s">
        <v>16</v>
      </c>
      <c r="E6" s="79" t="s">
        <v>17</v>
      </c>
      <c r="F6" s="87" t="s">
        <v>26</v>
      </c>
      <c r="G6" s="88"/>
      <c r="H6" s="81" t="s">
        <v>34</v>
      </c>
      <c r="I6" s="81" t="s">
        <v>33</v>
      </c>
      <c r="J6" s="83" t="s">
        <v>27</v>
      </c>
      <c r="K6" s="74" t="s">
        <v>24</v>
      </c>
      <c r="M6" s="14" t="s">
        <v>19</v>
      </c>
      <c r="N6" s="11" t="s">
        <v>20</v>
      </c>
      <c r="O6" s="14" t="s">
        <v>19</v>
      </c>
      <c r="P6" s="11" t="s">
        <v>20</v>
      </c>
      <c r="Q6" s="14" t="s">
        <v>19</v>
      </c>
      <c r="R6" s="11" t="s">
        <v>20</v>
      </c>
      <c r="S6" s="14" t="s">
        <v>19</v>
      </c>
      <c r="T6" s="11" t="s">
        <v>20</v>
      </c>
      <c r="U6" s="14" t="s">
        <v>19</v>
      </c>
      <c r="V6" s="11" t="s">
        <v>20</v>
      </c>
      <c r="W6" s="14" t="s">
        <v>19</v>
      </c>
      <c r="X6" s="11" t="s">
        <v>20</v>
      </c>
      <c r="Y6" s="14" t="s">
        <v>19</v>
      </c>
      <c r="Z6" s="11" t="s">
        <v>20</v>
      </c>
    </row>
    <row r="7" spans="1:26" ht="15.75" thickBot="1" x14ac:dyDescent="0.3">
      <c r="A7" s="32" t="s">
        <v>6</v>
      </c>
      <c r="B7" s="4" t="s">
        <v>0</v>
      </c>
      <c r="C7" s="4" t="s">
        <v>5</v>
      </c>
      <c r="D7" s="86"/>
      <c r="E7" s="80"/>
      <c r="F7" s="24" t="s">
        <v>0</v>
      </c>
      <c r="G7" s="17" t="s">
        <v>5</v>
      </c>
      <c r="H7" s="82"/>
      <c r="I7" s="82"/>
      <c r="J7" s="84"/>
      <c r="K7" s="75"/>
      <c r="M7" s="12" t="s">
        <v>21</v>
      </c>
      <c r="N7" s="13">
        <v>19</v>
      </c>
      <c r="O7" s="12" t="s">
        <v>21</v>
      </c>
      <c r="P7" s="13">
        <v>19.5</v>
      </c>
      <c r="Q7" s="12" t="s">
        <v>21</v>
      </c>
      <c r="R7" s="13">
        <v>20</v>
      </c>
      <c r="S7" s="12" t="s">
        <v>21</v>
      </c>
      <c r="T7" s="13">
        <v>20.5</v>
      </c>
      <c r="U7" s="12" t="s">
        <v>21</v>
      </c>
      <c r="V7" s="13">
        <v>21</v>
      </c>
      <c r="W7" s="12" t="s">
        <v>21</v>
      </c>
      <c r="X7" s="13">
        <v>21.5</v>
      </c>
      <c r="Y7" s="12" t="s">
        <v>21</v>
      </c>
      <c r="Z7" s="13">
        <v>22</v>
      </c>
    </row>
    <row r="8" spans="1:26" x14ac:dyDescent="0.25">
      <c r="A8" s="32" t="s">
        <v>1</v>
      </c>
      <c r="B8" s="8">
        <v>83.3</v>
      </c>
      <c r="C8" s="8">
        <v>82.3</v>
      </c>
      <c r="D8" s="18" t="s">
        <v>23</v>
      </c>
      <c r="E8" s="21">
        <v>3</v>
      </c>
      <c r="F8" s="24">
        <f>IF($D8="Y",B8,B8+0.5)</f>
        <v>83.8</v>
      </c>
      <c r="G8" s="25">
        <f>+C8</f>
        <v>82.3</v>
      </c>
      <c r="H8" s="53">
        <f>IF(E8=3,I$28,I$29)</f>
        <v>2.1666666666666665</v>
      </c>
      <c r="I8" s="4">
        <f>+K$18</f>
        <v>18.25</v>
      </c>
      <c r="J8" s="55">
        <f>IF(F8="","",G8-F8+H8+I8)</f>
        <v>18.916666666666668</v>
      </c>
      <c r="K8" s="38">
        <v>19</v>
      </c>
      <c r="M8" s="56">
        <f>N$7+$F8-$G8-$I$29</f>
        <v>17.333333333333332</v>
      </c>
      <c r="N8" s="57">
        <f>N$7+$F8-$G8-$I$28</f>
        <v>18.333333333333332</v>
      </c>
      <c r="O8" s="56">
        <f>P$7+$F8-$G8-$I$29</f>
        <v>17.833333333333332</v>
      </c>
      <c r="P8" s="57">
        <f>P$7+$F8-$G8-$I$28</f>
        <v>18.833333333333332</v>
      </c>
      <c r="Q8" s="56">
        <f>R$7+$F8-$G8-$I$29</f>
        <v>18.333333333333332</v>
      </c>
      <c r="R8" s="57">
        <f>R$7+$F8-$G8-$I$28</f>
        <v>19.333333333333332</v>
      </c>
      <c r="S8" s="56">
        <f>T$7+$F8-$G8-$I$29</f>
        <v>18.833333333333332</v>
      </c>
      <c r="T8" s="57">
        <f>T$7+$F8-$G8-$I$28</f>
        <v>19.833333333333332</v>
      </c>
      <c r="U8" s="56">
        <f>V$7+$F8-$G8-$I$29</f>
        <v>19.333333333333332</v>
      </c>
      <c r="V8" s="57">
        <f>V$7+$F8-$G8-$I$28</f>
        <v>20.333333333333332</v>
      </c>
      <c r="W8" s="56">
        <f>X$7+$F8-$G8-$I$29</f>
        <v>19.833333333333332</v>
      </c>
      <c r="X8" s="57">
        <f>X$7+$F8-$G8-$I$28</f>
        <v>20.833333333333332</v>
      </c>
      <c r="Y8" s="56">
        <f>Z$7+$F8-$G8-$I$29</f>
        <v>20.333333333333332</v>
      </c>
      <c r="Z8" s="57">
        <f>Z$7+$F8-$G8-$I$28</f>
        <v>21.333333333333332</v>
      </c>
    </row>
    <row r="9" spans="1:26" x14ac:dyDescent="0.25">
      <c r="A9" s="32" t="s">
        <v>2</v>
      </c>
      <c r="B9" s="8">
        <v>85.6</v>
      </c>
      <c r="C9" s="8">
        <v>87.1</v>
      </c>
      <c r="D9" s="18" t="s">
        <v>23</v>
      </c>
      <c r="E9" s="21">
        <v>3</v>
      </c>
      <c r="F9" s="24">
        <f t="shared" ref="F9:F12" si="0">IF($D9="Y",B9,B9+0.5)</f>
        <v>86.1</v>
      </c>
      <c r="G9" s="25">
        <f t="shared" ref="G9:G12" si="1">+C9</f>
        <v>87.1</v>
      </c>
      <c r="H9" s="53">
        <f>IF(E9=3,I$28,I$29)</f>
        <v>2.1666666666666665</v>
      </c>
      <c r="I9" s="4">
        <f t="shared" ref="I9:I12" si="2">+K$18</f>
        <v>18.25</v>
      </c>
      <c r="J9" s="55">
        <f t="shared" ref="J9:J12" si="3">IF(F9="","",G9-F9+H9+I9)</f>
        <v>21.416666666666668</v>
      </c>
      <c r="K9" s="38">
        <v>21.5</v>
      </c>
      <c r="M9" s="58">
        <f t="shared" ref="M9:M15" si="4">N$7+$F9-$G9-$I$29</f>
        <v>14.833333333333334</v>
      </c>
      <c r="N9" s="59">
        <f t="shared" ref="N9:N15" si="5">N$7+$F9-$G9-$I$28</f>
        <v>15.833333333333334</v>
      </c>
      <c r="O9" s="58">
        <f t="shared" ref="O9:O15" si="6">P$7+$F9-$G9-$I$29</f>
        <v>15.333333333333334</v>
      </c>
      <c r="P9" s="59">
        <f t="shared" ref="P9:P15" si="7">P$7+$F9-$G9-$I$28</f>
        <v>16.333333333333332</v>
      </c>
      <c r="Q9" s="58">
        <f t="shared" ref="Q9:Q15" si="8">R$7+$F9-$G9-$I$29</f>
        <v>15.833333333333334</v>
      </c>
      <c r="R9" s="59">
        <f t="shared" ref="R9:R15" si="9">R$7+$F9-$G9-$I$28</f>
        <v>16.833333333333332</v>
      </c>
      <c r="S9" s="58">
        <f t="shared" ref="S9:S15" si="10">T$7+$F9-$G9-$I$29</f>
        <v>16.333333333333332</v>
      </c>
      <c r="T9" s="59">
        <f t="shared" ref="T9:T15" si="11">T$7+$F9-$G9-$I$28</f>
        <v>17.333333333333332</v>
      </c>
      <c r="U9" s="58">
        <f t="shared" ref="U9:U15" si="12">V$7+$F9-$G9-$I$29</f>
        <v>16.833333333333332</v>
      </c>
      <c r="V9" s="59">
        <f t="shared" ref="V9:V15" si="13">V$7+$F9-$G9-$I$28</f>
        <v>17.833333333333332</v>
      </c>
      <c r="W9" s="58">
        <f t="shared" ref="W9:W15" si="14">X$7+$F9-$G9-$I$29</f>
        <v>17.333333333333332</v>
      </c>
      <c r="X9" s="59">
        <f t="shared" ref="X9:X15" si="15">X$7+$F9-$G9-$I$28</f>
        <v>18.333333333333332</v>
      </c>
      <c r="Y9" s="58">
        <f t="shared" ref="Y9:Y15" si="16">Z$7+$F9-$G9-$I$29</f>
        <v>17.833333333333332</v>
      </c>
      <c r="Z9" s="59">
        <f t="shared" ref="Z9:Z15" si="17">Z$7+$F9-$G9-$I$28</f>
        <v>18.833333333333332</v>
      </c>
    </row>
    <row r="10" spans="1:26" x14ac:dyDescent="0.25">
      <c r="A10" s="32" t="s">
        <v>3</v>
      </c>
      <c r="B10" s="8">
        <v>84.5</v>
      </c>
      <c r="C10" s="8">
        <v>86.6</v>
      </c>
      <c r="D10" s="18" t="s">
        <v>23</v>
      </c>
      <c r="E10" s="21">
        <v>3</v>
      </c>
      <c r="F10" s="24">
        <f t="shared" si="0"/>
        <v>85</v>
      </c>
      <c r="G10" s="25">
        <f t="shared" si="1"/>
        <v>86.6</v>
      </c>
      <c r="H10" s="53">
        <f>IF(E10=3,I$28,I$29)</f>
        <v>2.1666666666666665</v>
      </c>
      <c r="I10" s="4">
        <f t="shared" si="2"/>
        <v>18.25</v>
      </c>
      <c r="J10" s="55">
        <f t="shared" si="3"/>
        <v>22.016666666666662</v>
      </c>
      <c r="K10" s="38">
        <v>22</v>
      </c>
      <c r="M10" s="58">
        <f t="shared" si="4"/>
        <v>14.23333333333334</v>
      </c>
      <c r="N10" s="59">
        <f t="shared" si="5"/>
        <v>15.23333333333334</v>
      </c>
      <c r="O10" s="58">
        <f t="shared" si="6"/>
        <v>14.73333333333334</v>
      </c>
      <c r="P10" s="59">
        <f t="shared" si="7"/>
        <v>15.73333333333334</v>
      </c>
      <c r="Q10" s="58">
        <f t="shared" si="8"/>
        <v>15.23333333333334</v>
      </c>
      <c r="R10" s="59">
        <f t="shared" si="9"/>
        <v>16.233333333333338</v>
      </c>
      <c r="S10" s="58">
        <f t="shared" si="10"/>
        <v>15.73333333333334</v>
      </c>
      <c r="T10" s="59">
        <f t="shared" si="11"/>
        <v>16.733333333333338</v>
      </c>
      <c r="U10" s="58">
        <f t="shared" si="12"/>
        <v>16.233333333333338</v>
      </c>
      <c r="V10" s="59">
        <f t="shared" si="13"/>
        <v>17.233333333333338</v>
      </c>
      <c r="W10" s="58">
        <f t="shared" si="14"/>
        <v>16.733333333333338</v>
      </c>
      <c r="X10" s="59">
        <f t="shared" si="15"/>
        <v>17.733333333333338</v>
      </c>
      <c r="Y10" s="58">
        <f t="shared" si="16"/>
        <v>17.233333333333338</v>
      </c>
      <c r="Z10" s="59">
        <f t="shared" si="17"/>
        <v>18.233333333333338</v>
      </c>
    </row>
    <row r="11" spans="1:26" x14ac:dyDescent="0.25">
      <c r="A11" s="32" t="s">
        <v>4</v>
      </c>
      <c r="B11" s="8">
        <v>83.1</v>
      </c>
      <c r="C11" s="8">
        <v>86.3</v>
      </c>
      <c r="D11" s="18" t="s">
        <v>23</v>
      </c>
      <c r="E11" s="21">
        <v>3</v>
      </c>
      <c r="F11" s="24">
        <f t="shared" si="0"/>
        <v>83.6</v>
      </c>
      <c r="G11" s="25">
        <f t="shared" si="1"/>
        <v>86.3</v>
      </c>
      <c r="H11" s="53">
        <f>IF(E11=3,I$28,I$29)</f>
        <v>2.1666666666666665</v>
      </c>
      <c r="I11" s="4">
        <f t="shared" si="2"/>
        <v>18.25</v>
      </c>
      <c r="J11" s="55">
        <f t="shared" si="3"/>
        <v>23.116666666666667</v>
      </c>
      <c r="K11" s="38">
        <v>22</v>
      </c>
      <c r="M11" s="58">
        <f t="shared" si="4"/>
        <v>13.133333333333331</v>
      </c>
      <c r="N11" s="59">
        <f t="shared" si="5"/>
        <v>14.133333333333331</v>
      </c>
      <c r="O11" s="58">
        <f t="shared" si="6"/>
        <v>13.633333333333331</v>
      </c>
      <c r="P11" s="59">
        <f t="shared" si="7"/>
        <v>14.633333333333331</v>
      </c>
      <c r="Q11" s="58">
        <f t="shared" si="8"/>
        <v>14.133333333333331</v>
      </c>
      <c r="R11" s="59">
        <f t="shared" si="9"/>
        <v>15.133333333333331</v>
      </c>
      <c r="S11" s="58">
        <f t="shared" si="10"/>
        <v>14.633333333333331</v>
      </c>
      <c r="T11" s="59">
        <f t="shared" si="11"/>
        <v>15.633333333333331</v>
      </c>
      <c r="U11" s="58">
        <f t="shared" si="12"/>
        <v>15.133333333333331</v>
      </c>
      <c r="V11" s="59">
        <f t="shared" si="13"/>
        <v>16.133333333333329</v>
      </c>
      <c r="W11" s="58">
        <f t="shared" si="14"/>
        <v>15.633333333333331</v>
      </c>
      <c r="X11" s="59">
        <f t="shared" si="15"/>
        <v>16.633333333333329</v>
      </c>
      <c r="Y11" s="58">
        <f t="shared" si="16"/>
        <v>16.133333333333329</v>
      </c>
      <c r="Z11" s="59">
        <f t="shared" si="17"/>
        <v>17.133333333333329</v>
      </c>
    </row>
    <row r="12" spans="1:26" x14ac:dyDescent="0.25">
      <c r="A12" s="33" t="s">
        <v>12</v>
      </c>
      <c r="B12" s="89">
        <v>86.1</v>
      </c>
      <c r="C12" s="89">
        <v>86.9</v>
      </c>
      <c r="D12" s="19" t="s">
        <v>23</v>
      </c>
      <c r="E12" s="22">
        <v>3</v>
      </c>
      <c r="F12" s="90">
        <f t="shared" si="0"/>
        <v>86.6</v>
      </c>
      <c r="G12" s="25">
        <f t="shared" si="1"/>
        <v>86.9</v>
      </c>
      <c r="H12" s="53">
        <f>IF(E12=3,I$28,I$29)</f>
        <v>2.1666666666666665</v>
      </c>
      <c r="I12" s="4">
        <f t="shared" si="2"/>
        <v>18.25</v>
      </c>
      <c r="J12" s="55">
        <f t="shared" si="3"/>
        <v>20.716666666666679</v>
      </c>
      <c r="K12" s="38">
        <v>21</v>
      </c>
      <c r="M12" s="58">
        <f t="shared" si="4"/>
        <v>15.533333333333323</v>
      </c>
      <c r="N12" s="59">
        <f t="shared" si="5"/>
        <v>16.533333333333321</v>
      </c>
      <c r="O12" s="58">
        <f t="shared" si="6"/>
        <v>16.033333333333321</v>
      </c>
      <c r="P12" s="59">
        <f t="shared" si="7"/>
        <v>17.033333333333321</v>
      </c>
      <c r="Q12" s="58">
        <f t="shared" si="8"/>
        <v>16.533333333333321</v>
      </c>
      <c r="R12" s="59">
        <f t="shared" si="9"/>
        <v>17.533333333333321</v>
      </c>
      <c r="S12" s="58">
        <f t="shared" si="10"/>
        <v>17.033333333333321</v>
      </c>
      <c r="T12" s="59">
        <f t="shared" si="11"/>
        <v>18.033333333333321</v>
      </c>
      <c r="U12" s="58">
        <f t="shared" si="12"/>
        <v>17.533333333333321</v>
      </c>
      <c r="V12" s="59">
        <f t="shared" si="13"/>
        <v>18.533333333333321</v>
      </c>
      <c r="W12" s="58">
        <f t="shared" si="14"/>
        <v>18.033333333333321</v>
      </c>
      <c r="X12" s="59">
        <f t="shared" si="15"/>
        <v>19.033333333333321</v>
      </c>
      <c r="Y12" s="58">
        <f t="shared" si="16"/>
        <v>18.533333333333321</v>
      </c>
      <c r="Z12" s="59">
        <f t="shared" si="17"/>
        <v>19.533333333333321</v>
      </c>
    </row>
    <row r="13" spans="1:26" x14ac:dyDescent="0.25">
      <c r="A13" s="32"/>
      <c r="B13" s="15"/>
      <c r="C13" s="15"/>
      <c r="D13" s="18"/>
      <c r="E13" s="21"/>
      <c r="F13" s="26"/>
      <c r="G13" s="25"/>
      <c r="H13" s="53" t="str">
        <f>IF(F13="","",IF(#REF!="Y",+J13+F13,J13+F13+0.5))</f>
        <v/>
      </c>
      <c r="I13" s="4" t="str">
        <f>IF(G13="","",IF(E13=3,H13-2.25,H13-3))</f>
        <v/>
      </c>
      <c r="J13" s="36" t="str">
        <f>IF(F13="","",IF(#REF!="y",IF(E13=3,G13-F13+20.5,G13-F13+21.25),IF(E13=3,G13-(F13+0.5)+20.5,G13-(F13+0.5)+21.25)))</f>
        <v/>
      </c>
      <c r="K13" s="38"/>
      <c r="M13" s="58">
        <f t="shared" si="4"/>
        <v>15.833333333333334</v>
      </c>
      <c r="N13" s="59">
        <f t="shared" si="5"/>
        <v>16.833333333333332</v>
      </c>
      <c r="O13" s="58">
        <f t="shared" si="6"/>
        <v>16.333333333333332</v>
      </c>
      <c r="P13" s="59">
        <f t="shared" si="7"/>
        <v>17.333333333333332</v>
      </c>
      <c r="Q13" s="58">
        <f t="shared" si="8"/>
        <v>16.833333333333332</v>
      </c>
      <c r="R13" s="59">
        <f t="shared" si="9"/>
        <v>17.833333333333332</v>
      </c>
      <c r="S13" s="58">
        <f t="shared" si="10"/>
        <v>17.333333333333332</v>
      </c>
      <c r="T13" s="59">
        <f t="shared" si="11"/>
        <v>18.333333333333332</v>
      </c>
      <c r="U13" s="58">
        <f t="shared" si="12"/>
        <v>17.833333333333332</v>
      </c>
      <c r="V13" s="59">
        <f t="shared" si="13"/>
        <v>18.833333333333332</v>
      </c>
      <c r="W13" s="58">
        <f t="shared" si="14"/>
        <v>18.333333333333332</v>
      </c>
      <c r="X13" s="59">
        <f t="shared" si="15"/>
        <v>19.333333333333332</v>
      </c>
      <c r="Y13" s="58">
        <f t="shared" si="16"/>
        <v>18.833333333333332</v>
      </c>
      <c r="Z13" s="59">
        <f t="shared" si="17"/>
        <v>19.833333333333332</v>
      </c>
    </row>
    <row r="14" spans="1:26" x14ac:dyDescent="0.25">
      <c r="A14" s="32"/>
      <c r="B14" s="15"/>
      <c r="C14" s="15"/>
      <c r="D14" s="18"/>
      <c r="E14" s="21"/>
      <c r="F14" s="26"/>
      <c r="G14" s="25"/>
      <c r="H14" s="53" t="str">
        <f>IF(F14="","",IF(#REF!="Y",+J14+F14,J14+F14+0.5))</f>
        <v/>
      </c>
      <c r="I14" s="4" t="str">
        <f>IF(G14="","",IF(E14=3,H14-2.25,H14-3))</f>
        <v/>
      </c>
      <c r="J14" s="36" t="str">
        <f>IF(F14="","",IF(#REF!="y",IF(E14=3,G14-F14+20.5,G14-F14+21.25),IF(E14=3,G14-(F14+0.5)+20.5,G14-(F14+0.5)+21.25)))</f>
        <v/>
      </c>
      <c r="K14" s="38"/>
      <c r="M14" s="58">
        <f t="shared" si="4"/>
        <v>15.833333333333334</v>
      </c>
      <c r="N14" s="59">
        <f t="shared" si="5"/>
        <v>16.833333333333332</v>
      </c>
      <c r="O14" s="58">
        <f t="shared" si="6"/>
        <v>16.333333333333332</v>
      </c>
      <c r="P14" s="59">
        <f t="shared" si="7"/>
        <v>17.333333333333332</v>
      </c>
      <c r="Q14" s="58">
        <f t="shared" si="8"/>
        <v>16.833333333333332</v>
      </c>
      <c r="R14" s="59">
        <f t="shared" si="9"/>
        <v>17.833333333333332</v>
      </c>
      <c r="S14" s="58">
        <f t="shared" si="10"/>
        <v>17.333333333333332</v>
      </c>
      <c r="T14" s="59">
        <f t="shared" si="11"/>
        <v>18.333333333333332</v>
      </c>
      <c r="U14" s="58">
        <f t="shared" si="12"/>
        <v>17.833333333333332</v>
      </c>
      <c r="V14" s="59">
        <f t="shared" si="13"/>
        <v>18.833333333333332</v>
      </c>
      <c r="W14" s="58">
        <f t="shared" si="14"/>
        <v>18.333333333333332</v>
      </c>
      <c r="X14" s="59">
        <f t="shared" si="15"/>
        <v>19.333333333333332</v>
      </c>
      <c r="Y14" s="58">
        <f t="shared" si="16"/>
        <v>18.833333333333332</v>
      </c>
      <c r="Z14" s="59">
        <f t="shared" si="17"/>
        <v>19.833333333333332</v>
      </c>
    </row>
    <row r="15" spans="1:26" ht="15.75" thickBot="1" x14ac:dyDescent="0.3">
      <c r="A15" s="34"/>
      <c r="B15" s="16"/>
      <c r="C15" s="16"/>
      <c r="D15" s="20"/>
      <c r="E15" s="23"/>
      <c r="F15" s="27"/>
      <c r="G15" s="28"/>
      <c r="H15" s="54" t="str">
        <f>IF(F15="","",IF(#REF!="Y",+J15+F15,J15+F15+0.5))</f>
        <v/>
      </c>
      <c r="I15" s="3" t="str">
        <f>IF(G15="","",IF(E15=3,H15-2.25,H15-3))</f>
        <v/>
      </c>
      <c r="J15" s="37" t="str">
        <f>IF(F15="","",IF(#REF!="y",IF(E15=3,G15-F15+20.5,G15-F15+21.25),IF(E15=3,G15-(F15+0.5)+20.5,G15-(F15+0.5)+21.25)))</f>
        <v/>
      </c>
      <c r="K15" s="39"/>
      <c r="M15" s="60">
        <f t="shared" si="4"/>
        <v>15.833333333333334</v>
      </c>
      <c r="N15" s="61">
        <f t="shared" si="5"/>
        <v>16.833333333333332</v>
      </c>
      <c r="O15" s="60">
        <f t="shared" si="6"/>
        <v>16.333333333333332</v>
      </c>
      <c r="P15" s="61">
        <f t="shared" si="7"/>
        <v>17.333333333333332</v>
      </c>
      <c r="Q15" s="60">
        <f t="shared" si="8"/>
        <v>16.833333333333332</v>
      </c>
      <c r="R15" s="61">
        <f t="shared" si="9"/>
        <v>17.833333333333332</v>
      </c>
      <c r="S15" s="60">
        <f t="shared" si="10"/>
        <v>17.333333333333332</v>
      </c>
      <c r="T15" s="61">
        <f t="shared" si="11"/>
        <v>18.333333333333332</v>
      </c>
      <c r="U15" s="60">
        <f t="shared" si="12"/>
        <v>17.833333333333332</v>
      </c>
      <c r="V15" s="61">
        <f t="shared" si="13"/>
        <v>18.833333333333332</v>
      </c>
      <c r="W15" s="60">
        <f t="shared" si="14"/>
        <v>18.333333333333332</v>
      </c>
      <c r="X15" s="61">
        <f t="shared" si="15"/>
        <v>19.333333333333332</v>
      </c>
      <c r="Y15" s="60">
        <f t="shared" si="16"/>
        <v>18.833333333333332</v>
      </c>
      <c r="Z15" s="61">
        <f t="shared" si="17"/>
        <v>19.833333333333332</v>
      </c>
    </row>
    <row r="16" spans="1:26" ht="15" customHeight="1" x14ac:dyDescent="0.25">
      <c r="D16" s="73" t="s">
        <v>22</v>
      </c>
      <c r="E16" s="73"/>
      <c r="F16" s="73"/>
      <c r="G16" s="73"/>
      <c r="H16" s="73"/>
      <c r="I16" s="73"/>
      <c r="J16" s="73"/>
      <c r="K16" s="73"/>
      <c r="L16" s="73"/>
      <c r="M16" s="63"/>
    </row>
    <row r="17" spans="1:25" ht="15" customHeight="1" x14ac:dyDescent="0.25">
      <c r="A17" s="63"/>
      <c r="B17" s="63"/>
      <c r="C17" s="1"/>
      <c r="D17" s="1"/>
      <c r="E17" s="1"/>
      <c r="F17" s="1"/>
    </row>
    <row r="18" spans="1:25" x14ac:dyDescent="0.25">
      <c r="H18" t="s">
        <v>31</v>
      </c>
      <c r="K18">
        <v>18.25</v>
      </c>
    </row>
    <row r="19" spans="1:25" x14ac:dyDescent="0.25">
      <c r="H19" t="s">
        <v>32</v>
      </c>
    </row>
    <row r="21" spans="1:25" x14ac:dyDescent="0.25">
      <c r="H21" t="s">
        <v>35</v>
      </c>
    </row>
    <row r="22" spans="1:25" x14ac:dyDescent="0.25">
      <c r="Q22" t="s">
        <v>64</v>
      </c>
    </row>
    <row r="23" spans="1:25" ht="15.75" thickBot="1" x14ac:dyDescent="0.3"/>
    <row r="24" spans="1:25" x14ac:dyDescent="0.25">
      <c r="A24" s="31"/>
      <c r="B24" s="76" t="s">
        <v>7</v>
      </c>
      <c r="C24" s="77"/>
      <c r="O24" s="42"/>
      <c r="P24" s="43"/>
      <c r="Q24" s="43"/>
      <c r="R24" s="43"/>
      <c r="S24" s="43"/>
      <c r="T24" s="43"/>
      <c r="U24" s="43"/>
      <c r="V24" s="43"/>
      <c r="W24" s="43"/>
      <c r="X24" s="43"/>
      <c r="Y24" s="44"/>
    </row>
    <row r="25" spans="1:25" x14ac:dyDescent="0.25">
      <c r="A25" s="32" t="s">
        <v>6</v>
      </c>
      <c r="B25" s="4" t="s">
        <v>0</v>
      </c>
      <c r="C25" s="2" t="s">
        <v>5</v>
      </c>
      <c r="G25" t="s">
        <v>53</v>
      </c>
      <c r="H25" t="s">
        <v>60</v>
      </c>
      <c r="O25" s="45"/>
      <c r="P25" t="s">
        <v>36</v>
      </c>
      <c r="Y25" s="46"/>
    </row>
    <row r="26" spans="1:25" x14ac:dyDescent="0.25">
      <c r="A26" s="32" t="s">
        <v>1</v>
      </c>
      <c r="B26" s="4"/>
      <c r="C26" s="2"/>
      <c r="O26" s="45"/>
      <c r="P26" t="s">
        <v>37</v>
      </c>
      <c r="R26" s="62">
        <v>45</v>
      </c>
      <c r="S26" t="s">
        <v>38</v>
      </c>
      <c r="Y26" s="46"/>
    </row>
    <row r="27" spans="1:25" x14ac:dyDescent="0.25">
      <c r="A27" s="32" t="s">
        <v>2</v>
      </c>
      <c r="B27" s="4"/>
      <c r="C27" s="2"/>
      <c r="G27" t="s">
        <v>54</v>
      </c>
      <c r="H27" s="52" t="s">
        <v>61</v>
      </c>
      <c r="I27" s="49">
        <f>(14/2+8)/12</f>
        <v>1.25</v>
      </c>
      <c r="J27" t="s">
        <v>55</v>
      </c>
      <c r="O27" s="45"/>
      <c r="P27" t="s">
        <v>39</v>
      </c>
      <c r="R27" s="62">
        <v>360</v>
      </c>
      <c r="S27" t="s">
        <v>40</v>
      </c>
      <c r="Y27" s="46"/>
    </row>
    <row r="28" spans="1:25" x14ac:dyDescent="0.25">
      <c r="A28" s="32" t="s">
        <v>3</v>
      </c>
      <c r="B28" s="4"/>
      <c r="C28" s="2"/>
      <c r="G28" t="s">
        <v>56</v>
      </c>
      <c r="H28" t="s">
        <v>62</v>
      </c>
      <c r="I28" s="49">
        <f>26/12</f>
        <v>2.1666666666666665</v>
      </c>
      <c r="O28" s="45"/>
      <c r="Y28" s="46"/>
    </row>
    <row r="29" spans="1:25" x14ac:dyDescent="0.25">
      <c r="A29" s="32" t="s">
        <v>4</v>
      </c>
      <c r="B29" s="4"/>
      <c r="C29" s="2"/>
      <c r="G29" t="s">
        <v>57</v>
      </c>
      <c r="H29" t="s">
        <v>63</v>
      </c>
      <c r="I29" s="49">
        <f>+(12*2+12/2+8)/12</f>
        <v>3.1666666666666665</v>
      </c>
      <c r="O29" s="45"/>
      <c r="T29" s="47"/>
      <c r="Y29" s="46"/>
    </row>
    <row r="30" spans="1:25" ht="30" x14ac:dyDescent="0.25">
      <c r="A30" s="33" t="s">
        <v>12</v>
      </c>
      <c r="B30" s="6"/>
      <c r="C30" s="7"/>
      <c r="O30" s="45"/>
      <c r="P30" t="s">
        <v>41</v>
      </c>
      <c r="Q30" t="s">
        <v>42</v>
      </c>
      <c r="R30" s="47" t="s">
        <v>43</v>
      </c>
      <c r="S30" t="s">
        <v>44</v>
      </c>
      <c r="T30" s="47" t="s">
        <v>45</v>
      </c>
      <c r="U30" s="47" t="s">
        <v>46</v>
      </c>
      <c r="V30" s="47" t="s">
        <v>47</v>
      </c>
      <c r="X30" s="47" t="s">
        <v>48</v>
      </c>
      <c r="Y30" s="46"/>
    </row>
    <row r="31" spans="1:25" x14ac:dyDescent="0.25">
      <c r="A31" s="32" t="s">
        <v>13</v>
      </c>
      <c r="B31" s="4"/>
      <c r="C31" s="2"/>
      <c r="O31" s="45"/>
      <c r="Y31" s="46"/>
    </row>
    <row r="32" spans="1:25" x14ac:dyDescent="0.25">
      <c r="A32" s="32" t="s">
        <v>14</v>
      </c>
      <c r="B32" s="4"/>
      <c r="C32" s="2"/>
      <c r="M32" t="s">
        <v>49</v>
      </c>
      <c r="O32" s="45"/>
      <c r="P32" t="s">
        <v>2</v>
      </c>
      <c r="Q32" t="s">
        <v>50</v>
      </c>
      <c r="R32" s="48">
        <v>126740</v>
      </c>
      <c r="S32" s="48">
        <f>+R32+R27</f>
        <v>127100</v>
      </c>
      <c r="T32" s="48">
        <v>126628.73</v>
      </c>
      <c r="U32">
        <v>16.04</v>
      </c>
      <c r="V32" s="48">
        <v>126786</v>
      </c>
      <c r="X32" s="49">
        <f>+(S32-T32)*ATAN(U32/(S32-V32))</f>
        <v>24.052885272949439</v>
      </c>
      <c r="Y32" s="46"/>
    </row>
    <row r="33" spans="1:25" ht="15.75" thickBot="1" x14ac:dyDescent="0.3">
      <c r="A33" s="34" t="s">
        <v>15</v>
      </c>
      <c r="B33" s="3"/>
      <c r="C33" s="5"/>
      <c r="M33" t="s">
        <v>51</v>
      </c>
      <c r="O33" s="45"/>
      <c r="P33" t="s">
        <v>13</v>
      </c>
      <c r="Q33" t="s">
        <v>52</v>
      </c>
      <c r="R33" s="48">
        <v>126963</v>
      </c>
      <c r="S33" s="48">
        <f>+R33-R27</f>
        <v>126603</v>
      </c>
      <c r="T33" s="48">
        <v>127071.96</v>
      </c>
      <c r="U33">
        <v>16.2</v>
      </c>
      <c r="V33" s="48">
        <v>126915</v>
      </c>
      <c r="X33" s="49">
        <f>+(T33-S33)*ATAN(U33/(V33-S33))</f>
        <v>24.327999039837639</v>
      </c>
      <c r="Y33" s="46"/>
    </row>
    <row r="34" spans="1:25" x14ac:dyDescent="0.25">
      <c r="O34" s="45"/>
      <c r="Y34" s="46"/>
    </row>
    <row r="35" spans="1:25" ht="15.75" thickBot="1" x14ac:dyDescent="0.3">
      <c r="A35" s="63" t="s">
        <v>8</v>
      </c>
      <c r="B35" s="63"/>
      <c r="O35" s="12"/>
      <c r="P35" s="50"/>
      <c r="Q35" s="50"/>
      <c r="R35" s="50"/>
      <c r="S35" s="50"/>
      <c r="T35" s="50"/>
      <c r="U35" s="50"/>
      <c r="V35" s="50"/>
      <c r="W35" s="50"/>
      <c r="X35" s="50"/>
      <c r="Y35" s="51"/>
    </row>
    <row r="47" spans="1:25" x14ac:dyDescent="0.25">
      <c r="G47" t="s">
        <v>58</v>
      </c>
    </row>
    <row r="48" spans="1:25" x14ac:dyDescent="0.25">
      <c r="G48" t="s">
        <v>59</v>
      </c>
    </row>
  </sheetData>
  <mergeCells count="19">
    <mergeCell ref="A2:B2"/>
    <mergeCell ref="E6:E7"/>
    <mergeCell ref="H6:H7"/>
    <mergeCell ref="J6:J7"/>
    <mergeCell ref="I6:I7"/>
    <mergeCell ref="B6:C6"/>
    <mergeCell ref="D6:D7"/>
    <mergeCell ref="F6:G6"/>
    <mergeCell ref="A35:B35"/>
    <mergeCell ref="A4:K4"/>
    <mergeCell ref="M4:Z4"/>
    <mergeCell ref="M5:Z5"/>
    <mergeCell ref="F5:G5"/>
    <mergeCell ref="A5:E5"/>
    <mergeCell ref="H5:J5"/>
    <mergeCell ref="A17:B17"/>
    <mergeCell ref="D16:M16"/>
    <mergeCell ref="K6:K7"/>
    <mergeCell ref="B24:C24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A2386-9F70-4700-89E1-DB6F77E55E89}">
  <dimension ref="A1"/>
  <sheetViews>
    <sheetView workbookViewId="0">
      <selection activeCell="P25" sqref="P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CALCULATIONS</vt:lpstr>
      <vt:lpstr>SSD from FDM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Hill, Travis</cp:lastModifiedBy>
  <cp:lastPrinted>2010-06-22T14:09:25Z</cp:lastPrinted>
  <dcterms:created xsi:type="dcterms:W3CDTF">2009-03-20T19:08:32Z</dcterms:created>
  <dcterms:modified xsi:type="dcterms:W3CDTF">2023-05-12T16:37:53Z</dcterms:modified>
</cp:coreProperties>
</file>